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simonberry/Fresh Projects/UK/RIBA/RISK/"/>
    </mc:Choice>
  </mc:AlternateContent>
  <xr:revisionPtr revIDLastSave="0" documentId="13_ncr:1_{84FC4E82-D19E-ED45-97F3-10BECAEBF36E}" xr6:coauthVersionLast="36" xr6:coauthVersionMax="36" xr10:uidLastSave="{00000000-0000-0000-0000-000000000000}"/>
  <bookViews>
    <workbookView xWindow="1980" yWindow="1000" windowWidth="29960" windowHeight="18460" xr2:uid="{97D25EE8-F8D4-6B41-9CB6-C5CD522C2EA6}"/>
  </bookViews>
  <sheets>
    <sheet name="Summary" sheetId="1" r:id="rId1"/>
    <sheet name="Glossary" sheetId="4" r:id="rId2"/>
    <sheet name="Stage" sheetId="2" state="veryHidden" r:id="rId3"/>
    <sheet name="data" sheetId="3" state="hidden" r:id="rId4"/>
  </sheets>
  <functionGroups builtInGroupCount="19"/>
  <definedNames>
    <definedName name="ActiveStage">data!$C$1</definedName>
    <definedName name="AddCol">Stage!$F$13</definedName>
    <definedName name="Anchor">Stage!$A$13</definedName>
    <definedName name="AnswerAnchor">Stage!$H$13</definedName>
    <definedName name="AnswerCompletion">data!$I$9:$P$9</definedName>
    <definedName name="Answers">data!$I$10:$P$140</definedName>
    <definedName name="applies">data!$Y$10:$AF$140</definedName>
    <definedName name="comments">data!$Q$10:$X$140</definedName>
    <definedName name="copyAnchor">Stage!$N$9</definedName>
    <definedName name="custom_answers">data!$E$22:$H$29,data!$E$44:$H$51,data!$E$66:$H$73,data!$E$85:$H$95,data!$E$106:$H$117,data!$E$128:$H$139</definedName>
    <definedName name="custom_indicators">data!$D$44:$D$51,data!$D$22:$D$29,data!$D$66:$D$73,data!$D$85:$D$95,data!$D$106:$D$117,data!$D$128:$D$139</definedName>
    <definedName name="defaultAnswers">data!$E$9:$H$9</definedName>
    <definedName name="detail">data!$I$5:$P$8</definedName>
    <definedName name="detail2">data!$Q$5:$X$8</definedName>
    <definedName name="editCol">Stage!$G$13</definedName>
    <definedName name="editmode">Stage!$A$2</definedName>
    <definedName name="indicatorCodes">data!$C$10:$C$140</definedName>
    <definedName name="indicators">data!$D$10:$H$140</definedName>
    <definedName name="initialShow">data!$B$10:$B$140</definedName>
    <definedName name="overall_quality_statement">Summary!$C$7</definedName>
    <definedName name="_xlnm.Print_Area" localSheetId="2">Stage!$A$2:$P$153</definedName>
    <definedName name="_xlnm.Print_Area" localSheetId="0">Summary!$B$2:$O$141</definedName>
    <definedName name="ProjectName">data!$I$3:$P$3</definedName>
    <definedName name="show">data!$A$10:$A$140</definedName>
    <definedName name="SiteAddress">data!$I$4:$P$4</definedName>
    <definedName name="StageComments">Stage!$N$14:$N$144</definedName>
    <definedName name="StageCommentsMerged">Stage!$N$14:$O$144</definedName>
    <definedName name="StageDetail">Stage!$N$5:$N$8</definedName>
    <definedName name="StageDetail2">Stage!$O$5:$O$8</definedName>
    <definedName name="stageNames">data!$I$1:$P$1</definedName>
    <definedName name="StageProjectName">Stage!$C$11</definedName>
    <definedName name="StageRoles">Stage!$I$5:$L$8</definedName>
    <definedName name="StageSiteAddress">Stage!$F$11</definedName>
    <definedName name="summaryAnchor">Summary!$C$10</definedName>
    <definedName name="ViewStage">data!$C$2</definedName>
    <definedName name="VisibleIndicatorCount">data!$A$8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0" i="3" l="1"/>
  <c r="A118" i="3"/>
  <c r="A96" i="3"/>
  <c r="A74" i="3"/>
  <c r="M9" i="3" s="1"/>
  <c r="A52" i="3"/>
  <c r="A30" i="3"/>
  <c r="G4" i="1"/>
  <c r="M4" i="1"/>
  <c r="J4" i="1"/>
  <c r="N140" i="1"/>
  <c r="M140" i="1"/>
  <c r="L140" i="1"/>
  <c r="K140" i="1"/>
  <c r="J140" i="1"/>
  <c r="I140" i="1"/>
  <c r="H140" i="1"/>
  <c r="G140" i="1"/>
  <c r="N139" i="1"/>
  <c r="M139" i="1"/>
  <c r="L139" i="1"/>
  <c r="K139" i="1"/>
  <c r="J139" i="1"/>
  <c r="I139" i="1"/>
  <c r="H139" i="1"/>
  <c r="G139" i="1"/>
  <c r="N138" i="1"/>
  <c r="M138" i="1"/>
  <c r="L138" i="1"/>
  <c r="K138" i="1"/>
  <c r="J138" i="1"/>
  <c r="I138" i="1"/>
  <c r="H138" i="1"/>
  <c r="G138" i="1"/>
  <c r="N137" i="1"/>
  <c r="M137" i="1"/>
  <c r="L137" i="1"/>
  <c r="K137" i="1"/>
  <c r="J137" i="1"/>
  <c r="I137" i="1"/>
  <c r="H137" i="1"/>
  <c r="G137" i="1"/>
  <c r="N136" i="1"/>
  <c r="M136" i="1"/>
  <c r="L136" i="1"/>
  <c r="K136" i="1"/>
  <c r="J136" i="1"/>
  <c r="I136" i="1"/>
  <c r="H136" i="1"/>
  <c r="G136" i="1"/>
  <c r="N135" i="1"/>
  <c r="M135" i="1"/>
  <c r="L135" i="1"/>
  <c r="K135" i="1"/>
  <c r="J135" i="1"/>
  <c r="I135" i="1"/>
  <c r="H135" i="1"/>
  <c r="G135" i="1"/>
  <c r="N134" i="1"/>
  <c r="M134" i="1"/>
  <c r="L134" i="1"/>
  <c r="K134" i="1"/>
  <c r="J134" i="1"/>
  <c r="I134" i="1"/>
  <c r="H134" i="1"/>
  <c r="G134" i="1"/>
  <c r="N133" i="1"/>
  <c r="M133" i="1"/>
  <c r="L133" i="1"/>
  <c r="K133" i="1"/>
  <c r="J133" i="1"/>
  <c r="I133" i="1"/>
  <c r="H133" i="1"/>
  <c r="G133" i="1"/>
  <c r="N132" i="1"/>
  <c r="M132" i="1"/>
  <c r="L132" i="1"/>
  <c r="K132" i="1"/>
  <c r="J132" i="1"/>
  <c r="I132" i="1"/>
  <c r="H132" i="1"/>
  <c r="G132" i="1"/>
  <c r="N131" i="1"/>
  <c r="M131" i="1"/>
  <c r="L131" i="1"/>
  <c r="K131" i="1"/>
  <c r="J131" i="1"/>
  <c r="I131" i="1"/>
  <c r="H131" i="1"/>
  <c r="G131" i="1"/>
  <c r="N130" i="1"/>
  <c r="M130" i="1"/>
  <c r="L130" i="1"/>
  <c r="K130" i="1"/>
  <c r="J130" i="1"/>
  <c r="I130" i="1"/>
  <c r="H130" i="1"/>
  <c r="G130" i="1"/>
  <c r="N129" i="1"/>
  <c r="M129" i="1"/>
  <c r="L129" i="1"/>
  <c r="K129" i="1"/>
  <c r="J129" i="1"/>
  <c r="I129" i="1"/>
  <c r="H129" i="1"/>
  <c r="G129" i="1"/>
  <c r="N128" i="1"/>
  <c r="M128" i="1"/>
  <c r="L128" i="1"/>
  <c r="K128" i="1"/>
  <c r="J128" i="1"/>
  <c r="I128" i="1"/>
  <c r="H128" i="1"/>
  <c r="G128" i="1"/>
  <c r="N127" i="1"/>
  <c r="M127" i="1"/>
  <c r="L127" i="1"/>
  <c r="K127" i="1"/>
  <c r="J127" i="1"/>
  <c r="I127" i="1"/>
  <c r="H127" i="1"/>
  <c r="G127" i="1"/>
  <c r="N126" i="1"/>
  <c r="M126" i="1"/>
  <c r="L126" i="1"/>
  <c r="K126" i="1"/>
  <c r="J126" i="1"/>
  <c r="I126" i="1"/>
  <c r="H126" i="1"/>
  <c r="G126" i="1"/>
  <c r="N125" i="1"/>
  <c r="M125" i="1"/>
  <c r="L125" i="1"/>
  <c r="K125" i="1"/>
  <c r="J125" i="1"/>
  <c r="I125" i="1"/>
  <c r="H125" i="1"/>
  <c r="G125" i="1"/>
  <c r="N124" i="1"/>
  <c r="M124" i="1"/>
  <c r="L124" i="1"/>
  <c r="K124" i="1"/>
  <c r="J124" i="1"/>
  <c r="I124" i="1"/>
  <c r="H124" i="1"/>
  <c r="G124" i="1"/>
  <c r="N123" i="1"/>
  <c r="M123" i="1"/>
  <c r="L123" i="1"/>
  <c r="K123" i="1"/>
  <c r="J123" i="1"/>
  <c r="I123" i="1"/>
  <c r="H123" i="1"/>
  <c r="G123" i="1"/>
  <c r="N122" i="1"/>
  <c r="M122" i="1"/>
  <c r="L122" i="1"/>
  <c r="K122" i="1"/>
  <c r="J122" i="1"/>
  <c r="I122" i="1"/>
  <c r="H122" i="1"/>
  <c r="G122" i="1"/>
  <c r="N121" i="1"/>
  <c r="M121" i="1"/>
  <c r="L121" i="1"/>
  <c r="K121" i="1"/>
  <c r="J121" i="1"/>
  <c r="I121" i="1"/>
  <c r="H121" i="1"/>
  <c r="G121" i="1"/>
  <c r="N120" i="1"/>
  <c r="M120" i="1"/>
  <c r="L120" i="1"/>
  <c r="K120" i="1"/>
  <c r="J120" i="1"/>
  <c r="I120" i="1"/>
  <c r="H120" i="1"/>
  <c r="G120" i="1"/>
  <c r="N119" i="1"/>
  <c r="M119" i="1"/>
  <c r="L119" i="1"/>
  <c r="K119" i="1"/>
  <c r="J119" i="1"/>
  <c r="I119" i="1"/>
  <c r="H119" i="1"/>
  <c r="G119" i="1"/>
  <c r="N118" i="1"/>
  <c r="M118" i="1"/>
  <c r="L118" i="1"/>
  <c r="K118" i="1"/>
  <c r="J118" i="1"/>
  <c r="I118" i="1"/>
  <c r="H118" i="1"/>
  <c r="G118" i="1"/>
  <c r="N117" i="1"/>
  <c r="M117" i="1"/>
  <c r="L117" i="1"/>
  <c r="K117" i="1"/>
  <c r="J117" i="1"/>
  <c r="I117" i="1"/>
  <c r="H117" i="1"/>
  <c r="G117" i="1"/>
  <c r="N116" i="1"/>
  <c r="M116" i="1"/>
  <c r="L116" i="1"/>
  <c r="K116" i="1"/>
  <c r="J116" i="1"/>
  <c r="I116" i="1"/>
  <c r="H116" i="1"/>
  <c r="G116" i="1"/>
  <c r="N115" i="1"/>
  <c r="M115" i="1"/>
  <c r="L115" i="1"/>
  <c r="K115" i="1"/>
  <c r="J115" i="1"/>
  <c r="I115" i="1"/>
  <c r="H115" i="1"/>
  <c r="G115" i="1"/>
  <c r="N114" i="1"/>
  <c r="M114" i="1"/>
  <c r="L114" i="1"/>
  <c r="K114" i="1"/>
  <c r="J114" i="1"/>
  <c r="I114" i="1"/>
  <c r="H114" i="1"/>
  <c r="G114" i="1"/>
  <c r="N113" i="1"/>
  <c r="M113" i="1"/>
  <c r="L113" i="1"/>
  <c r="K113" i="1"/>
  <c r="J113" i="1"/>
  <c r="I113" i="1"/>
  <c r="H113" i="1"/>
  <c r="G113" i="1"/>
  <c r="N112" i="1"/>
  <c r="M112" i="1"/>
  <c r="L112" i="1"/>
  <c r="K112" i="1"/>
  <c r="J112" i="1"/>
  <c r="I112" i="1"/>
  <c r="H112" i="1"/>
  <c r="G112" i="1"/>
  <c r="N111" i="1"/>
  <c r="M111" i="1"/>
  <c r="L111" i="1"/>
  <c r="K111" i="1"/>
  <c r="J111" i="1"/>
  <c r="I111" i="1"/>
  <c r="H111" i="1"/>
  <c r="G111" i="1"/>
  <c r="N110" i="1"/>
  <c r="M110" i="1"/>
  <c r="L110" i="1"/>
  <c r="K110" i="1"/>
  <c r="J110" i="1"/>
  <c r="I110" i="1"/>
  <c r="H110" i="1"/>
  <c r="G110" i="1"/>
  <c r="N109" i="1"/>
  <c r="M109" i="1"/>
  <c r="L109" i="1"/>
  <c r="K109" i="1"/>
  <c r="J109" i="1"/>
  <c r="I109" i="1"/>
  <c r="H109" i="1"/>
  <c r="G109" i="1"/>
  <c r="N108" i="1"/>
  <c r="M108" i="1"/>
  <c r="L108" i="1"/>
  <c r="K108" i="1"/>
  <c r="J108" i="1"/>
  <c r="I108" i="1"/>
  <c r="H108" i="1"/>
  <c r="G108" i="1"/>
  <c r="N107" i="1"/>
  <c r="M107" i="1"/>
  <c r="L107" i="1"/>
  <c r="K107" i="1"/>
  <c r="J107" i="1"/>
  <c r="I107" i="1"/>
  <c r="H107" i="1"/>
  <c r="G107" i="1"/>
  <c r="N106" i="1"/>
  <c r="M106" i="1"/>
  <c r="L106" i="1"/>
  <c r="K106" i="1"/>
  <c r="J106" i="1"/>
  <c r="I106" i="1"/>
  <c r="H106" i="1"/>
  <c r="G106" i="1"/>
  <c r="N105" i="1"/>
  <c r="M105" i="1"/>
  <c r="L105" i="1"/>
  <c r="K105" i="1"/>
  <c r="J105" i="1"/>
  <c r="I105" i="1"/>
  <c r="H105" i="1"/>
  <c r="G105" i="1"/>
  <c r="N104" i="1"/>
  <c r="M104" i="1"/>
  <c r="L104" i="1"/>
  <c r="K104" i="1"/>
  <c r="J104" i="1"/>
  <c r="I104" i="1"/>
  <c r="H104" i="1"/>
  <c r="G104" i="1"/>
  <c r="N103" i="1"/>
  <c r="M103" i="1"/>
  <c r="L103" i="1"/>
  <c r="K103" i="1"/>
  <c r="J103" i="1"/>
  <c r="I103" i="1"/>
  <c r="H103" i="1"/>
  <c r="G103" i="1"/>
  <c r="N102" i="1"/>
  <c r="M102" i="1"/>
  <c r="L102" i="1"/>
  <c r="K102" i="1"/>
  <c r="J102" i="1"/>
  <c r="I102" i="1"/>
  <c r="H102" i="1"/>
  <c r="G102" i="1"/>
  <c r="N101" i="1"/>
  <c r="M101" i="1"/>
  <c r="L101" i="1"/>
  <c r="K101" i="1"/>
  <c r="J101" i="1"/>
  <c r="I101" i="1"/>
  <c r="H101" i="1"/>
  <c r="G101" i="1"/>
  <c r="N100" i="1"/>
  <c r="M100" i="1"/>
  <c r="L100" i="1"/>
  <c r="K100" i="1"/>
  <c r="J100" i="1"/>
  <c r="I100" i="1"/>
  <c r="H100" i="1"/>
  <c r="G100" i="1"/>
  <c r="N99" i="1"/>
  <c r="M99" i="1"/>
  <c r="L99" i="1"/>
  <c r="K99" i="1"/>
  <c r="J99" i="1"/>
  <c r="I99" i="1"/>
  <c r="H99" i="1"/>
  <c r="G99" i="1"/>
  <c r="N98" i="1"/>
  <c r="M98" i="1"/>
  <c r="L98" i="1"/>
  <c r="K98" i="1"/>
  <c r="J98" i="1"/>
  <c r="I98" i="1"/>
  <c r="H98" i="1"/>
  <c r="G98" i="1"/>
  <c r="N97" i="1"/>
  <c r="M97" i="1"/>
  <c r="L97" i="1"/>
  <c r="K97" i="1"/>
  <c r="J97" i="1"/>
  <c r="I97" i="1"/>
  <c r="H97" i="1"/>
  <c r="G97" i="1"/>
  <c r="N96" i="1"/>
  <c r="M96" i="1"/>
  <c r="L96" i="1"/>
  <c r="K96" i="1"/>
  <c r="J96" i="1"/>
  <c r="I96" i="1"/>
  <c r="H96" i="1"/>
  <c r="G96" i="1"/>
  <c r="N95" i="1"/>
  <c r="M95" i="1"/>
  <c r="L95" i="1"/>
  <c r="K95" i="1"/>
  <c r="J95" i="1"/>
  <c r="I95" i="1"/>
  <c r="H95" i="1"/>
  <c r="G95" i="1"/>
  <c r="N94" i="1"/>
  <c r="M94" i="1"/>
  <c r="L94" i="1"/>
  <c r="K94" i="1"/>
  <c r="J94" i="1"/>
  <c r="I94" i="1"/>
  <c r="H94" i="1"/>
  <c r="G94" i="1"/>
  <c r="N93" i="1"/>
  <c r="M93" i="1"/>
  <c r="L93" i="1"/>
  <c r="K93" i="1"/>
  <c r="J93" i="1"/>
  <c r="I93" i="1"/>
  <c r="H93" i="1"/>
  <c r="G93" i="1"/>
  <c r="N92" i="1"/>
  <c r="M92" i="1"/>
  <c r="L92" i="1"/>
  <c r="K92" i="1"/>
  <c r="J92" i="1"/>
  <c r="I92" i="1"/>
  <c r="H92" i="1"/>
  <c r="G92" i="1"/>
  <c r="N91" i="1"/>
  <c r="M91" i="1"/>
  <c r="L91" i="1"/>
  <c r="K91" i="1"/>
  <c r="J91" i="1"/>
  <c r="I91" i="1"/>
  <c r="H91" i="1"/>
  <c r="G91" i="1"/>
  <c r="N90" i="1"/>
  <c r="M90" i="1"/>
  <c r="L90" i="1"/>
  <c r="K90" i="1"/>
  <c r="J90" i="1"/>
  <c r="I90" i="1"/>
  <c r="H90" i="1"/>
  <c r="G90" i="1"/>
  <c r="N89" i="1"/>
  <c r="M89" i="1"/>
  <c r="L89" i="1"/>
  <c r="K89" i="1"/>
  <c r="J89" i="1"/>
  <c r="I89" i="1"/>
  <c r="H89" i="1"/>
  <c r="G89" i="1"/>
  <c r="N88" i="1"/>
  <c r="M88" i="1"/>
  <c r="L88" i="1"/>
  <c r="K88" i="1"/>
  <c r="J88" i="1"/>
  <c r="I88" i="1"/>
  <c r="H88" i="1"/>
  <c r="G88" i="1"/>
  <c r="N87" i="1"/>
  <c r="M87" i="1"/>
  <c r="L87" i="1"/>
  <c r="K87" i="1"/>
  <c r="J87" i="1"/>
  <c r="I87" i="1"/>
  <c r="H87" i="1"/>
  <c r="G87" i="1"/>
  <c r="N86" i="1"/>
  <c r="M86" i="1"/>
  <c r="L86" i="1"/>
  <c r="K86" i="1"/>
  <c r="J86" i="1"/>
  <c r="I86" i="1"/>
  <c r="H86" i="1"/>
  <c r="G86" i="1"/>
  <c r="N85" i="1"/>
  <c r="M85" i="1"/>
  <c r="L85" i="1"/>
  <c r="K85" i="1"/>
  <c r="J85" i="1"/>
  <c r="I85" i="1"/>
  <c r="H85" i="1"/>
  <c r="G85" i="1"/>
  <c r="N84" i="1"/>
  <c r="M84" i="1"/>
  <c r="L84" i="1"/>
  <c r="K84" i="1"/>
  <c r="J84" i="1"/>
  <c r="I84" i="1"/>
  <c r="H84" i="1"/>
  <c r="G84" i="1"/>
  <c r="N83" i="1"/>
  <c r="M83" i="1"/>
  <c r="L83" i="1"/>
  <c r="K83" i="1"/>
  <c r="J83" i="1"/>
  <c r="I83" i="1"/>
  <c r="H83" i="1"/>
  <c r="G83" i="1"/>
  <c r="N82" i="1"/>
  <c r="M82" i="1"/>
  <c r="L82" i="1"/>
  <c r="K82" i="1"/>
  <c r="J82" i="1"/>
  <c r="I82" i="1"/>
  <c r="H82" i="1"/>
  <c r="G82" i="1"/>
  <c r="N81" i="1"/>
  <c r="M81" i="1"/>
  <c r="L81" i="1"/>
  <c r="K81" i="1"/>
  <c r="J81" i="1"/>
  <c r="I81" i="1"/>
  <c r="H81" i="1"/>
  <c r="G81" i="1"/>
  <c r="N80" i="1"/>
  <c r="M80" i="1"/>
  <c r="L80" i="1"/>
  <c r="K80" i="1"/>
  <c r="J80" i="1"/>
  <c r="I80" i="1"/>
  <c r="H80" i="1"/>
  <c r="G80" i="1"/>
  <c r="N79" i="1"/>
  <c r="M79" i="1"/>
  <c r="L79" i="1"/>
  <c r="K79" i="1"/>
  <c r="J79" i="1"/>
  <c r="I79" i="1"/>
  <c r="H79" i="1"/>
  <c r="G79" i="1"/>
  <c r="N78" i="1"/>
  <c r="M78" i="1"/>
  <c r="L78" i="1"/>
  <c r="K78" i="1"/>
  <c r="J78" i="1"/>
  <c r="I78" i="1"/>
  <c r="H78" i="1"/>
  <c r="G78" i="1"/>
  <c r="N77" i="1"/>
  <c r="M77" i="1"/>
  <c r="L77" i="1"/>
  <c r="K77" i="1"/>
  <c r="J77" i="1"/>
  <c r="I77" i="1"/>
  <c r="H77" i="1"/>
  <c r="G77" i="1"/>
  <c r="N76" i="1"/>
  <c r="M76" i="1"/>
  <c r="L76" i="1"/>
  <c r="K76" i="1"/>
  <c r="J76" i="1"/>
  <c r="I76" i="1"/>
  <c r="H76" i="1"/>
  <c r="G76" i="1"/>
  <c r="N75" i="1"/>
  <c r="M75" i="1"/>
  <c r="L75" i="1"/>
  <c r="K75" i="1"/>
  <c r="J75" i="1"/>
  <c r="I75" i="1"/>
  <c r="H75" i="1"/>
  <c r="G75" i="1"/>
  <c r="N74" i="1"/>
  <c r="M74" i="1"/>
  <c r="L74" i="1"/>
  <c r="K74" i="1"/>
  <c r="J74" i="1"/>
  <c r="I74" i="1"/>
  <c r="H74" i="1"/>
  <c r="G74" i="1"/>
  <c r="N73" i="1"/>
  <c r="M73" i="1"/>
  <c r="L73" i="1"/>
  <c r="K73" i="1"/>
  <c r="J73" i="1"/>
  <c r="I73" i="1"/>
  <c r="H73" i="1"/>
  <c r="G73" i="1"/>
  <c r="N72" i="1"/>
  <c r="M72" i="1"/>
  <c r="L72" i="1"/>
  <c r="K72" i="1"/>
  <c r="J72" i="1"/>
  <c r="I72" i="1"/>
  <c r="H72" i="1"/>
  <c r="G72" i="1"/>
  <c r="N71" i="1"/>
  <c r="M71" i="1"/>
  <c r="L71" i="1"/>
  <c r="K71" i="1"/>
  <c r="J71" i="1"/>
  <c r="I71" i="1"/>
  <c r="H71" i="1"/>
  <c r="G71" i="1"/>
  <c r="N70" i="1"/>
  <c r="M70" i="1"/>
  <c r="L70" i="1"/>
  <c r="K70" i="1"/>
  <c r="J70" i="1"/>
  <c r="I70" i="1"/>
  <c r="H70" i="1"/>
  <c r="G70" i="1"/>
  <c r="N69" i="1"/>
  <c r="M69" i="1"/>
  <c r="L69" i="1"/>
  <c r="K69" i="1"/>
  <c r="J69" i="1"/>
  <c r="I69" i="1"/>
  <c r="H69" i="1"/>
  <c r="G69" i="1"/>
  <c r="N68" i="1"/>
  <c r="M68" i="1"/>
  <c r="L68" i="1"/>
  <c r="K68" i="1"/>
  <c r="J68" i="1"/>
  <c r="I68" i="1"/>
  <c r="H68" i="1"/>
  <c r="G68" i="1"/>
  <c r="N67" i="1"/>
  <c r="M67" i="1"/>
  <c r="L67" i="1"/>
  <c r="K67" i="1"/>
  <c r="J67" i="1"/>
  <c r="I67" i="1"/>
  <c r="H67" i="1"/>
  <c r="G67" i="1"/>
  <c r="N66" i="1"/>
  <c r="M66" i="1"/>
  <c r="L66" i="1"/>
  <c r="K66" i="1"/>
  <c r="J66" i="1"/>
  <c r="I66" i="1"/>
  <c r="H66" i="1"/>
  <c r="G66" i="1"/>
  <c r="N65" i="1"/>
  <c r="M65" i="1"/>
  <c r="L65" i="1"/>
  <c r="K65" i="1"/>
  <c r="J65" i="1"/>
  <c r="I65" i="1"/>
  <c r="H65" i="1"/>
  <c r="G65" i="1"/>
  <c r="N64" i="1"/>
  <c r="M64" i="1"/>
  <c r="L64" i="1"/>
  <c r="K64" i="1"/>
  <c r="J64" i="1"/>
  <c r="I64" i="1"/>
  <c r="H64" i="1"/>
  <c r="G64" i="1"/>
  <c r="N63" i="1"/>
  <c r="M63" i="1"/>
  <c r="L63" i="1"/>
  <c r="K63" i="1"/>
  <c r="J63" i="1"/>
  <c r="I63" i="1"/>
  <c r="H63" i="1"/>
  <c r="G63" i="1"/>
  <c r="N62" i="1"/>
  <c r="M62" i="1"/>
  <c r="L62" i="1"/>
  <c r="K62" i="1"/>
  <c r="J62" i="1"/>
  <c r="I62" i="1"/>
  <c r="H62" i="1"/>
  <c r="G62" i="1"/>
  <c r="N61" i="1"/>
  <c r="M61" i="1"/>
  <c r="L61" i="1"/>
  <c r="K61" i="1"/>
  <c r="J61" i="1"/>
  <c r="I61" i="1"/>
  <c r="H61" i="1"/>
  <c r="G61" i="1"/>
  <c r="N60" i="1"/>
  <c r="M60" i="1"/>
  <c r="L60" i="1"/>
  <c r="K60" i="1"/>
  <c r="J60" i="1"/>
  <c r="I60" i="1"/>
  <c r="H60" i="1"/>
  <c r="G60" i="1"/>
  <c r="N59" i="1"/>
  <c r="M59" i="1"/>
  <c r="L59" i="1"/>
  <c r="K59" i="1"/>
  <c r="J59" i="1"/>
  <c r="I59" i="1"/>
  <c r="H59" i="1"/>
  <c r="G59" i="1"/>
  <c r="N58" i="1"/>
  <c r="M58" i="1"/>
  <c r="L58" i="1"/>
  <c r="K58" i="1"/>
  <c r="J58" i="1"/>
  <c r="I58" i="1"/>
  <c r="H58" i="1"/>
  <c r="G58" i="1"/>
  <c r="N57" i="1"/>
  <c r="M57" i="1"/>
  <c r="L57" i="1"/>
  <c r="K57" i="1"/>
  <c r="J57" i="1"/>
  <c r="I57" i="1"/>
  <c r="H57" i="1"/>
  <c r="G57" i="1"/>
  <c r="N56" i="1"/>
  <c r="M56" i="1"/>
  <c r="L56" i="1"/>
  <c r="K56" i="1"/>
  <c r="J56" i="1"/>
  <c r="I56" i="1"/>
  <c r="H56" i="1"/>
  <c r="G56" i="1"/>
  <c r="N55" i="1"/>
  <c r="M55" i="1"/>
  <c r="L55" i="1"/>
  <c r="K55" i="1"/>
  <c r="J55" i="1"/>
  <c r="I55" i="1"/>
  <c r="H55" i="1"/>
  <c r="G55" i="1"/>
  <c r="N54" i="1"/>
  <c r="M54" i="1"/>
  <c r="L54" i="1"/>
  <c r="K54" i="1"/>
  <c r="J54" i="1"/>
  <c r="I54" i="1"/>
  <c r="H54" i="1"/>
  <c r="G54" i="1"/>
  <c r="N53" i="1"/>
  <c r="M53" i="1"/>
  <c r="L53" i="1"/>
  <c r="K53" i="1"/>
  <c r="J53" i="1"/>
  <c r="I53" i="1"/>
  <c r="H53" i="1"/>
  <c r="G53" i="1"/>
  <c r="N52" i="1"/>
  <c r="M52" i="1"/>
  <c r="L52" i="1"/>
  <c r="K52" i="1"/>
  <c r="J52" i="1"/>
  <c r="I52" i="1"/>
  <c r="H52" i="1"/>
  <c r="G52" i="1"/>
  <c r="N51" i="1"/>
  <c r="M51" i="1"/>
  <c r="L51" i="1"/>
  <c r="K51" i="1"/>
  <c r="J51" i="1"/>
  <c r="I51" i="1"/>
  <c r="H51" i="1"/>
  <c r="G51" i="1"/>
  <c r="N50" i="1"/>
  <c r="M50" i="1"/>
  <c r="L50" i="1"/>
  <c r="K50" i="1"/>
  <c r="J50" i="1"/>
  <c r="I50" i="1"/>
  <c r="H50" i="1"/>
  <c r="G50" i="1"/>
  <c r="N49" i="1"/>
  <c r="M49" i="1"/>
  <c r="L49" i="1"/>
  <c r="K49" i="1"/>
  <c r="J49" i="1"/>
  <c r="I49" i="1"/>
  <c r="H49" i="1"/>
  <c r="G49" i="1"/>
  <c r="N48" i="1"/>
  <c r="M48" i="1"/>
  <c r="L48" i="1"/>
  <c r="K48" i="1"/>
  <c r="J48" i="1"/>
  <c r="I48" i="1"/>
  <c r="H48" i="1"/>
  <c r="G48" i="1"/>
  <c r="N47" i="1"/>
  <c r="M47" i="1"/>
  <c r="L47" i="1"/>
  <c r="K47" i="1"/>
  <c r="J47" i="1"/>
  <c r="I47" i="1"/>
  <c r="H47" i="1"/>
  <c r="G47" i="1"/>
  <c r="N46" i="1"/>
  <c r="M46" i="1"/>
  <c r="L46" i="1"/>
  <c r="K46" i="1"/>
  <c r="J46" i="1"/>
  <c r="I46" i="1"/>
  <c r="H46" i="1"/>
  <c r="G46" i="1"/>
  <c r="N45" i="1"/>
  <c r="M45" i="1"/>
  <c r="L45" i="1"/>
  <c r="K45" i="1"/>
  <c r="J45" i="1"/>
  <c r="I45" i="1"/>
  <c r="H45" i="1"/>
  <c r="G45" i="1"/>
  <c r="N44" i="1"/>
  <c r="M44" i="1"/>
  <c r="L44" i="1"/>
  <c r="K44" i="1"/>
  <c r="J44" i="1"/>
  <c r="I44" i="1"/>
  <c r="H44" i="1"/>
  <c r="G44" i="1"/>
  <c r="N43" i="1"/>
  <c r="M43" i="1"/>
  <c r="L43" i="1"/>
  <c r="K43" i="1"/>
  <c r="J43" i="1"/>
  <c r="I43" i="1"/>
  <c r="H43" i="1"/>
  <c r="G43" i="1"/>
  <c r="N42" i="1"/>
  <c r="M42" i="1"/>
  <c r="L42" i="1"/>
  <c r="K42" i="1"/>
  <c r="J42" i="1"/>
  <c r="I42" i="1"/>
  <c r="H42" i="1"/>
  <c r="G42" i="1"/>
  <c r="N41" i="1"/>
  <c r="M41" i="1"/>
  <c r="L41" i="1"/>
  <c r="K41" i="1"/>
  <c r="J41" i="1"/>
  <c r="I41" i="1"/>
  <c r="H41" i="1"/>
  <c r="G41" i="1"/>
  <c r="N40" i="1"/>
  <c r="M40" i="1"/>
  <c r="L40" i="1"/>
  <c r="K40" i="1"/>
  <c r="J40" i="1"/>
  <c r="I40" i="1"/>
  <c r="H40" i="1"/>
  <c r="G40" i="1"/>
  <c r="N39" i="1"/>
  <c r="M39" i="1"/>
  <c r="L39" i="1"/>
  <c r="K39" i="1"/>
  <c r="J39" i="1"/>
  <c r="I39" i="1"/>
  <c r="H39" i="1"/>
  <c r="G39" i="1"/>
  <c r="N38" i="1"/>
  <c r="M38" i="1"/>
  <c r="L38" i="1"/>
  <c r="K38" i="1"/>
  <c r="J38" i="1"/>
  <c r="I38" i="1"/>
  <c r="H38" i="1"/>
  <c r="G38" i="1"/>
  <c r="N37" i="1"/>
  <c r="M37" i="1"/>
  <c r="L37" i="1"/>
  <c r="K37" i="1"/>
  <c r="J37" i="1"/>
  <c r="I37" i="1"/>
  <c r="H37" i="1"/>
  <c r="G37" i="1"/>
  <c r="N36" i="1"/>
  <c r="M36" i="1"/>
  <c r="L36" i="1"/>
  <c r="K36" i="1"/>
  <c r="J36" i="1"/>
  <c r="I36" i="1"/>
  <c r="H36" i="1"/>
  <c r="G36" i="1"/>
  <c r="N35" i="1"/>
  <c r="M35" i="1"/>
  <c r="L35" i="1"/>
  <c r="K35" i="1"/>
  <c r="J35" i="1"/>
  <c r="I35" i="1"/>
  <c r="H35" i="1"/>
  <c r="G35" i="1"/>
  <c r="N34" i="1"/>
  <c r="M34" i="1"/>
  <c r="L34" i="1"/>
  <c r="K34" i="1"/>
  <c r="J34" i="1"/>
  <c r="I34" i="1"/>
  <c r="H34" i="1"/>
  <c r="G34" i="1"/>
  <c r="N33" i="1"/>
  <c r="M33" i="1"/>
  <c r="L33" i="1"/>
  <c r="K33" i="1"/>
  <c r="J33" i="1"/>
  <c r="I33" i="1"/>
  <c r="H33" i="1"/>
  <c r="G33" i="1"/>
  <c r="N32" i="1"/>
  <c r="M32" i="1"/>
  <c r="L32" i="1"/>
  <c r="K32" i="1"/>
  <c r="J32" i="1"/>
  <c r="I32" i="1"/>
  <c r="H32" i="1"/>
  <c r="G32" i="1"/>
  <c r="N31" i="1"/>
  <c r="M31" i="1"/>
  <c r="L31" i="1"/>
  <c r="K31" i="1"/>
  <c r="J31" i="1"/>
  <c r="I31" i="1"/>
  <c r="H31" i="1"/>
  <c r="G31" i="1"/>
  <c r="N30" i="1"/>
  <c r="M30" i="1"/>
  <c r="L30" i="1"/>
  <c r="K30" i="1"/>
  <c r="J30" i="1"/>
  <c r="I30" i="1"/>
  <c r="H30" i="1"/>
  <c r="G30" i="1"/>
  <c r="N29" i="1"/>
  <c r="M29" i="1"/>
  <c r="L29" i="1"/>
  <c r="K29" i="1"/>
  <c r="J29" i="1"/>
  <c r="I29" i="1"/>
  <c r="H29" i="1"/>
  <c r="G29" i="1"/>
  <c r="N28" i="1"/>
  <c r="M28" i="1"/>
  <c r="L28" i="1"/>
  <c r="K28" i="1"/>
  <c r="J28" i="1"/>
  <c r="I28" i="1"/>
  <c r="H28" i="1"/>
  <c r="G28" i="1"/>
  <c r="N27" i="1"/>
  <c r="M27" i="1"/>
  <c r="L27" i="1"/>
  <c r="K27" i="1"/>
  <c r="J27" i="1"/>
  <c r="I27" i="1"/>
  <c r="H27" i="1"/>
  <c r="G27" i="1"/>
  <c r="N26" i="1"/>
  <c r="M26" i="1"/>
  <c r="L26" i="1"/>
  <c r="K26" i="1"/>
  <c r="J26" i="1"/>
  <c r="I26" i="1"/>
  <c r="H26" i="1"/>
  <c r="G26" i="1"/>
  <c r="N25" i="1"/>
  <c r="M25" i="1"/>
  <c r="L25" i="1"/>
  <c r="K25" i="1"/>
  <c r="J25" i="1"/>
  <c r="I25" i="1"/>
  <c r="H25" i="1"/>
  <c r="G25" i="1"/>
  <c r="N24" i="1"/>
  <c r="M24" i="1"/>
  <c r="L24" i="1"/>
  <c r="K24" i="1"/>
  <c r="J24" i="1"/>
  <c r="I24" i="1"/>
  <c r="H24" i="1"/>
  <c r="G24" i="1"/>
  <c r="N23" i="1"/>
  <c r="M23" i="1"/>
  <c r="L23" i="1"/>
  <c r="K23" i="1"/>
  <c r="J23" i="1"/>
  <c r="I23" i="1"/>
  <c r="H23" i="1"/>
  <c r="G23" i="1"/>
  <c r="N22" i="1"/>
  <c r="M22" i="1"/>
  <c r="L22" i="1"/>
  <c r="K22" i="1"/>
  <c r="J22" i="1"/>
  <c r="I22" i="1"/>
  <c r="H22" i="1"/>
  <c r="G22" i="1"/>
  <c r="N21" i="1"/>
  <c r="M21" i="1"/>
  <c r="L21" i="1"/>
  <c r="K21" i="1"/>
  <c r="J21" i="1"/>
  <c r="I21" i="1"/>
  <c r="H21" i="1"/>
  <c r="G21" i="1"/>
  <c r="N20" i="1"/>
  <c r="M20" i="1"/>
  <c r="L20" i="1"/>
  <c r="K20" i="1"/>
  <c r="J20" i="1"/>
  <c r="I20" i="1"/>
  <c r="H20" i="1"/>
  <c r="G20" i="1"/>
  <c r="N19" i="1"/>
  <c r="M19" i="1"/>
  <c r="L19" i="1"/>
  <c r="K19" i="1"/>
  <c r="J19" i="1"/>
  <c r="I19" i="1"/>
  <c r="H19" i="1"/>
  <c r="G19" i="1"/>
  <c r="N18" i="1"/>
  <c r="M18" i="1"/>
  <c r="L18" i="1"/>
  <c r="K18" i="1"/>
  <c r="J18" i="1"/>
  <c r="I18" i="1"/>
  <c r="H18" i="1"/>
  <c r="G18" i="1"/>
  <c r="N17" i="1"/>
  <c r="M17" i="1"/>
  <c r="L17" i="1"/>
  <c r="K17" i="1"/>
  <c r="J17" i="1"/>
  <c r="I17" i="1"/>
  <c r="H17" i="1"/>
  <c r="G17" i="1"/>
  <c r="N16" i="1"/>
  <c r="M16" i="1"/>
  <c r="L16" i="1"/>
  <c r="K16" i="1"/>
  <c r="J16" i="1"/>
  <c r="I16" i="1"/>
  <c r="H16" i="1"/>
  <c r="G16" i="1"/>
  <c r="N15" i="1"/>
  <c r="M15" i="1"/>
  <c r="L15" i="1"/>
  <c r="K15" i="1"/>
  <c r="J15" i="1"/>
  <c r="I15" i="1"/>
  <c r="H15" i="1"/>
  <c r="G15" i="1"/>
  <c r="N14" i="1"/>
  <c r="M14" i="1"/>
  <c r="L14" i="1"/>
  <c r="K14" i="1"/>
  <c r="J14" i="1"/>
  <c r="I14" i="1"/>
  <c r="H14" i="1"/>
  <c r="G14" i="1"/>
  <c r="N13" i="1"/>
  <c r="M13" i="1"/>
  <c r="L13" i="1"/>
  <c r="K13" i="1"/>
  <c r="J13" i="1"/>
  <c r="I13" i="1"/>
  <c r="H13" i="1"/>
  <c r="G13" i="1"/>
  <c r="N12" i="1"/>
  <c r="M12" i="1"/>
  <c r="L12" i="1"/>
  <c r="K12" i="1"/>
  <c r="J12" i="1"/>
  <c r="I12" i="1"/>
  <c r="H12" i="1"/>
  <c r="G12" i="1"/>
  <c r="N11" i="1"/>
  <c r="M11" i="1"/>
  <c r="L11" i="1"/>
  <c r="K11" i="1"/>
  <c r="J11" i="1"/>
  <c r="I11" i="1"/>
  <c r="H11" i="1"/>
  <c r="G11" i="1"/>
  <c r="N9" i="3"/>
  <c r="J9" i="3"/>
  <c r="I9" i="3"/>
  <c r="A11" i="2" s="1"/>
  <c r="B140" i="3"/>
  <c r="B118" i="3"/>
  <c r="B96" i="3"/>
  <c r="B74" i="3"/>
  <c r="B52" i="3"/>
  <c r="B30" i="3"/>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N151" i="2"/>
  <c r="N150" i="2"/>
  <c r="N149" i="2"/>
  <c r="N148" i="2"/>
  <c r="O148" i="2"/>
  <c r="O149" i="2"/>
  <c r="O150" i="2"/>
  <c r="O151" i="2"/>
  <c r="C7" i="2"/>
  <c r="K9" i="3" l="1"/>
  <c r="O9" i="3"/>
  <c r="A8" i="3"/>
  <c r="L9" i="3"/>
  <c r="P9" i="3"/>
  <c r="I11" i="2"/>
  <c r="J5" i="1"/>
  <c r="J23" i="2"/>
  <c r="C124" i="1" l="1"/>
  <c r="C102" i="1"/>
  <c r="C80" i="1"/>
  <c r="C58" i="1"/>
  <c r="C36" i="1"/>
  <c r="C14" i="1"/>
  <c r="C121" i="1"/>
  <c r="C99" i="1"/>
  <c r="C77" i="1"/>
  <c r="C55" i="1"/>
  <c r="C33" i="1"/>
  <c r="C1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F48" i="2" l="1"/>
  <c r="F26" i="2"/>
  <c r="L143" i="2" l="1"/>
  <c r="L142" i="2"/>
  <c r="L141" i="2"/>
  <c r="L140" i="2"/>
  <c r="L139" i="2"/>
  <c r="L138" i="2"/>
  <c r="L137" i="2"/>
  <c r="L136" i="2"/>
  <c r="L135" i="2"/>
  <c r="L134" i="2"/>
  <c r="L133" i="2"/>
  <c r="L132" i="2"/>
  <c r="L131" i="2"/>
  <c r="L130" i="2"/>
  <c r="L129" i="2"/>
  <c r="L128" i="2"/>
  <c r="L127" i="2"/>
  <c r="L126" i="2"/>
  <c r="L125" i="2"/>
  <c r="L124" i="2"/>
  <c r="L121" i="2"/>
  <c r="L120" i="2"/>
  <c r="L119" i="2"/>
  <c r="L118" i="2"/>
  <c r="L117" i="2"/>
  <c r="L116" i="2"/>
  <c r="L115" i="2"/>
  <c r="L114" i="2"/>
  <c r="L113" i="2"/>
  <c r="L112" i="2"/>
  <c r="L111" i="2"/>
  <c r="L110" i="2"/>
  <c r="L109" i="2"/>
  <c r="L108" i="2"/>
  <c r="L107" i="2"/>
  <c r="L106" i="2"/>
  <c r="L105" i="2"/>
  <c r="L104" i="2"/>
  <c r="L103" i="2"/>
  <c r="L102" i="2"/>
  <c r="L99" i="2"/>
  <c r="L98" i="2"/>
  <c r="L97" i="2"/>
  <c r="L96" i="2"/>
  <c r="L95" i="2"/>
  <c r="L94" i="2"/>
  <c r="L93" i="2"/>
  <c r="L92" i="2"/>
  <c r="L91" i="2"/>
  <c r="L90" i="2"/>
  <c r="L89" i="2"/>
  <c r="L88" i="2"/>
  <c r="L87" i="2"/>
  <c r="L86" i="2"/>
  <c r="L85" i="2"/>
  <c r="L84" i="2"/>
  <c r="L83" i="2"/>
  <c r="L82" i="2"/>
  <c r="L81" i="2"/>
  <c r="L80" i="2"/>
  <c r="L77" i="2"/>
  <c r="L76" i="2"/>
  <c r="L75" i="2"/>
  <c r="L74" i="2"/>
  <c r="L73" i="2"/>
  <c r="L72" i="2"/>
  <c r="L71" i="2"/>
  <c r="L70" i="2"/>
  <c r="L69" i="2"/>
  <c r="L68" i="2"/>
  <c r="L67" i="2"/>
  <c r="L66" i="2"/>
  <c r="L65" i="2"/>
  <c r="L64" i="2"/>
  <c r="L63" i="2"/>
  <c r="L62" i="2"/>
  <c r="L61" i="2"/>
  <c r="L60" i="2"/>
  <c r="L59" i="2"/>
  <c r="L58" i="2"/>
  <c r="L55" i="2"/>
  <c r="L54" i="2"/>
  <c r="L53" i="2"/>
  <c r="L52" i="2"/>
  <c r="L51" i="2"/>
  <c r="L50" i="2"/>
  <c r="L49" i="2"/>
  <c r="L48" i="2"/>
  <c r="L47" i="2"/>
  <c r="L46" i="2"/>
  <c r="L45" i="2"/>
  <c r="L44" i="2"/>
  <c r="L43" i="2"/>
  <c r="L42" i="2"/>
  <c r="L41" i="2"/>
  <c r="L40" i="2"/>
  <c r="L39" i="2"/>
  <c r="L38" i="2"/>
  <c r="L37" i="2"/>
  <c r="L36" i="2"/>
  <c r="L33" i="2"/>
  <c r="L32" i="2"/>
  <c r="L31" i="2"/>
  <c r="L30" i="2"/>
  <c r="L29" i="2"/>
  <c r="L28" i="2"/>
  <c r="L27" i="2"/>
  <c r="L26" i="2"/>
  <c r="L25" i="2"/>
  <c r="L24" i="2"/>
  <c r="L23" i="2"/>
  <c r="L22" i="2"/>
  <c r="L21" i="2"/>
  <c r="L20" i="2"/>
  <c r="L19" i="2"/>
  <c r="L18" i="2"/>
  <c r="L17" i="2"/>
  <c r="L16" i="2"/>
  <c r="L15" i="2"/>
  <c r="L14" i="2"/>
  <c r="K143" i="2"/>
  <c r="K142" i="2"/>
  <c r="K141" i="2"/>
  <c r="K140" i="2"/>
  <c r="K139" i="2"/>
  <c r="K138" i="2"/>
  <c r="K137" i="2"/>
  <c r="K136" i="2"/>
  <c r="K135" i="2"/>
  <c r="K134" i="2"/>
  <c r="K133" i="2"/>
  <c r="K132" i="2"/>
  <c r="K131" i="2"/>
  <c r="K130" i="2"/>
  <c r="K129" i="2"/>
  <c r="K128" i="2"/>
  <c r="K127" i="2"/>
  <c r="K126" i="2"/>
  <c r="K125" i="2"/>
  <c r="K124" i="2"/>
  <c r="K121" i="2"/>
  <c r="K120" i="2"/>
  <c r="K119" i="2"/>
  <c r="K118" i="2"/>
  <c r="K117" i="2"/>
  <c r="K116" i="2"/>
  <c r="K115" i="2"/>
  <c r="K114" i="2"/>
  <c r="K113" i="2"/>
  <c r="K112" i="2"/>
  <c r="K111" i="2"/>
  <c r="K110" i="2"/>
  <c r="K109" i="2"/>
  <c r="K108" i="2"/>
  <c r="K107" i="2"/>
  <c r="K106" i="2"/>
  <c r="K105" i="2"/>
  <c r="K104" i="2"/>
  <c r="K103" i="2"/>
  <c r="K102" i="2"/>
  <c r="K99" i="2"/>
  <c r="K98" i="2"/>
  <c r="K97" i="2"/>
  <c r="K96" i="2"/>
  <c r="K95" i="2"/>
  <c r="K94" i="2"/>
  <c r="K93" i="2"/>
  <c r="K92" i="2"/>
  <c r="K91" i="2"/>
  <c r="K90" i="2"/>
  <c r="K89" i="2"/>
  <c r="K88" i="2"/>
  <c r="K87" i="2"/>
  <c r="K86" i="2"/>
  <c r="K85" i="2"/>
  <c r="K84" i="2"/>
  <c r="K83" i="2"/>
  <c r="K82" i="2"/>
  <c r="K81" i="2"/>
  <c r="K80" i="2"/>
  <c r="K77" i="2"/>
  <c r="K76" i="2"/>
  <c r="K75" i="2"/>
  <c r="K74" i="2"/>
  <c r="K73" i="2"/>
  <c r="K72" i="2"/>
  <c r="K71" i="2"/>
  <c r="K70" i="2"/>
  <c r="K69" i="2"/>
  <c r="K68" i="2"/>
  <c r="K67" i="2"/>
  <c r="K66" i="2"/>
  <c r="K65" i="2"/>
  <c r="K64" i="2"/>
  <c r="K63" i="2"/>
  <c r="K62" i="2"/>
  <c r="K61" i="2"/>
  <c r="K60" i="2"/>
  <c r="K59" i="2"/>
  <c r="K58" i="2"/>
  <c r="K55" i="2"/>
  <c r="K54" i="2"/>
  <c r="K53" i="2"/>
  <c r="K52" i="2"/>
  <c r="K51" i="2"/>
  <c r="K50" i="2"/>
  <c r="K49" i="2"/>
  <c r="K48" i="2"/>
  <c r="K47" i="2"/>
  <c r="K46" i="2"/>
  <c r="K45" i="2"/>
  <c r="K44" i="2"/>
  <c r="K43" i="2"/>
  <c r="K42" i="2"/>
  <c r="K41" i="2"/>
  <c r="K40" i="2"/>
  <c r="K39" i="2"/>
  <c r="K38" i="2"/>
  <c r="K37" i="2"/>
  <c r="K36" i="2"/>
  <c r="K33" i="2"/>
  <c r="K32" i="2"/>
  <c r="K31" i="2"/>
  <c r="K30" i="2"/>
  <c r="K29" i="2"/>
  <c r="K28" i="2"/>
  <c r="K27" i="2"/>
  <c r="K26" i="2"/>
  <c r="K25" i="2"/>
  <c r="K24" i="2"/>
  <c r="K23" i="2"/>
  <c r="K22" i="2"/>
  <c r="K21" i="2"/>
  <c r="K20" i="2"/>
  <c r="K19" i="2"/>
  <c r="K18" i="2"/>
  <c r="K17" i="2"/>
  <c r="K16" i="2"/>
  <c r="K15" i="2"/>
  <c r="K14" i="2"/>
  <c r="J143" i="2"/>
  <c r="J142" i="2"/>
  <c r="J141" i="2"/>
  <c r="J140" i="2"/>
  <c r="J139" i="2"/>
  <c r="J138" i="2"/>
  <c r="J137" i="2"/>
  <c r="J136" i="2"/>
  <c r="J135" i="2"/>
  <c r="J134" i="2"/>
  <c r="J133" i="2"/>
  <c r="J132" i="2"/>
  <c r="J131" i="2"/>
  <c r="J130" i="2"/>
  <c r="J129" i="2"/>
  <c r="J128" i="2"/>
  <c r="J127" i="2"/>
  <c r="J126" i="2"/>
  <c r="J125" i="2"/>
  <c r="J124" i="2"/>
  <c r="J121" i="2"/>
  <c r="J120" i="2"/>
  <c r="J119" i="2"/>
  <c r="J118" i="2"/>
  <c r="J117" i="2"/>
  <c r="J116" i="2"/>
  <c r="J115" i="2"/>
  <c r="J114" i="2"/>
  <c r="J113" i="2"/>
  <c r="J112" i="2"/>
  <c r="J111" i="2"/>
  <c r="J110" i="2"/>
  <c r="J109" i="2"/>
  <c r="J108" i="2"/>
  <c r="J107" i="2"/>
  <c r="J106" i="2"/>
  <c r="J105" i="2"/>
  <c r="J104" i="2"/>
  <c r="J103" i="2"/>
  <c r="J102" i="2"/>
  <c r="J99" i="2"/>
  <c r="J98" i="2"/>
  <c r="J97" i="2"/>
  <c r="J96" i="2"/>
  <c r="J95" i="2"/>
  <c r="J94" i="2"/>
  <c r="J93" i="2"/>
  <c r="J92" i="2"/>
  <c r="J91" i="2"/>
  <c r="J90" i="2"/>
  <c r="J89" i="2"/>
  <c r="J88" i="2"/>
  <c r="J87" i="2"/>
  <c r="J86" i="2"/>
  <c r="J85" i="2"/>
  <c r="J84" i="2"/>
  <c r="J83" i="2"/>
  <c r="J82" i="2"/>
  <c r="J81" i="2"/>
  <c r="J80" i="2"/>
  <c r="J77" i="2"/>
  <c r="J76" i="2"/>
  <c r="J75" i="2"/>
  <c r="J74" i="2"/>
  <c r="J73" i="2"/>
  <c r="J72" i="2"/>
  <c r="J71" i="2"/>
  <c r="J70" i="2"/>
  <c r="J69" i="2"/>
  <c r="J68" i="2"/>
  <c r="J67" i="2"/>
  <c r="J66" i="2"/>
  <c r="J65" i="2"/>
  <c r="J64" i="2"/>
  <c r="J63" i="2"/>
  <c r="J62" i="2"/>
  <c r="J61" i="2"/>
  <c r="J60" i="2"/>
  <c r="J59" i="2"/>
  <c r="J58" i="2"/>
  <c r="J55" i="2"/>
  <c r="J54" i="2"/>
  <c r="J53" i="2"/>
  <c r="J52" i="2"/>
  <c r="J51" i="2"/>
  <c r="J50" i="2"/>
  <c r="J49" i="2"/>
  <c r="J48" i="2"/>
  <c r="J47" i="2"/>
  <c r="J46" i="2"/>
  <c r="J45" i="2"/>
  <c r="J44" i="2"/>
  <c r="J43" i="2"/>
  <c r="J42" i="2"/>
  <c r="J41" i="2"/>
  <c r="J40" i="2"/>
  <c r="J39" i="2"/>
  <c r="J38" i="2"/>
  <c r="J37" i="2"/>
  <c r="J36" i="2"/>
  <c r="J33" i="2"/>
  <c r="J32" i="2"/>
  <c r="J31" i="2"/>
  <c r="J30" i="2"/>
  <c r="J29" i="2"/>
  <c r="J28" i="2"/>
  <c r="J27" i="2"/>
  <c r="J26" i="2"/>
  <c r="J25" i="2"/>
  <c r="J24" i="2"/>
  <c r="J22" i="2"/>
  <c r="J21" i="2"/>
  <c r="J20" i="2"/>
  <c r="J19" i="2"/>
  <c r="J18" i="2"/>
  <c r="J17" i="2"/>
  <c r="J16" i="2"/>
  <c r="J15" i="2"/>
  <c r="J14" i="2"/>
  <c r="I143" i="2"/>
  <c r="I142" i="2"/>
  <c r="I141" i="2"/>
  <c r="I140" i="2"/>
  <c r="I139" i="2"/>
  <c r="I138" i="2"/>
  <c r="I137" i="2"/>
  <c r="I136" i="2"/>
  <c r="I135" i="2"/>
  <c r="I134" i="2"/>
  <c r="I133" i="2"/>
  <c r="I132" i="2"/>
  <c r="I131" i="2"/>
  <c r="I130" i="2"/>
  <c r="I129" i="2"/>
  <c r="I128" i="2"/>
  <c r="I127" i="2"/>
  <c r="I126" i="2"/>
  <c r="I125" i="2"/>
  <c r="I124" i="2"/>
  <c r="I121" i="2"/>
  <c r="I120" i="2"/>
  <c r="I119" i="2"/>
  <c r="I118" i="2"/>
  <c r="I117" i="2"/>
  <c r="I116" i="2"/>
  <c r="I115" i="2"/>
  <c r="I114" i="2"/>
  <c r="I113" i="2"/>
  <c r="I112" i="2"/>
  <c r="I111" i="2"/>
  <c r="I110" i="2"/>
  <c r="I109" i="2"/>
  <c r="I108" i="2"/>
  <c r="I107" i="2"/>
  <c r="I106" i="2"/>
  <c r="I105" i="2"/>
  <c r="I104" i="2"/>
  <c r="I103" i="2"/>
  <c r="I102" i="2"/>
  <c r="I99" i="2"/>
  <c r="I98" i="2"/>
  <c r="I97" i="2"/>
  <c r="I96" i="2"/>
  <c r="I95" i="2"/>
  <c r="I94" i="2"/>
  <c r="I93" i="2"/>
  <c r="I92" i="2"/>
  <c r="I91" i="2"/>
  <c r="I90" i="2"/>
  <c r="I89" i="2"/>
  <c r="I88" i="2"/>
  <c r="I87" i="2"/>
  <c r="I86" i="2"/>
  <c r="I85" i="2"/>
  <c r="I84" i="2"/>
  <c r="I83" i="2"/>
  <c r="I82" i="2"/>
  <c r="I81" i="2"/>
  <c r="I80" i="2"/>
  <c r="I77" i="2"/>
  <c r="I76" i="2"/>
  <c r="I75" i="2"/>
  <c r="I74" i="2"/>
  <c r="I73" i="2"/>
  <c r="I72" i="2"/>
  <c r="I71" i="2"/>
  <c r="I70" i="2"/>
  <c r="I69" i="2"/>
  <c r="I68" i="2"/>
  <c r="I67" i="2"/>
  <c r="I66" i="2"/>
  <c r="I65" i="2"/>
  <c r="I64" i="2"/>
  <c r="I63" i="2"/>
  <c r="I62" i="2"/>
  <c r="I61" i="2"/>
  <c r="I60" i="2"/>
  <c r="I59" i="2"/>
  <c r="I58" i="2"/>
  <c r="I55" i="2"/>
  <c r="I54" i="2"/>
  <c r="I53" i="2"/>
  <c r="I52" i="2"/>
  <c r="I51" i="2"/>
  <c r="I50" i="2"/>
  <c r="I49" i="2"/>
  <c r="I48" i="2"/>
  <c r="I47" i="2"/>
  <c r="I46" i="2"/>
  <c r="I45" i="2"/>
  <c r="I44" i="2"/>
  <c r="I43" i="2"/>
  <c r="I42" i="2"/>
  <c r="I41" i="2"/>
  <c r="I40" i="2"/>
  <c r="I39" i="2"/>
  <c r="I38" i="2"/>
  <c r="I37" i="2"/>
  <c r="I36" i="2"/>
  <c r="I33" i="2"/>
  <c r="I32" i="2"/>
  <c r="I31" i="2"/>
  <c r="I30" i="2"/>
  <c r="I29" i="2"/>
  <c r="I28" i="2"/>
  <c r="I27" i="2"/>
  <c r="I26" i="2"/>
  <c r="I25" i="2"/>
  <c r="I24" i="2"/>
  <c r="I23" i="2"/>
  <c r="I22" i="2"/>
  <c r="I21" i="2"/>
  <c r="I20" i="2"/>
  <c r="I19" i="2"/>
  <c r="I18" i="2"/>
  <c r="I17" i="2"/>
  <c r="I16" i="2"/>
  <c r="I15" i="2"/>
  <c r="I14" i="2"/>
  <c r="F143" i="2"/>
  <c r="F142" i="2"/>
  <c r="F141" i="2"/>
  <c r="F140" i="2"/>
  <c r="F139" i="2"/>
  <c r="F138" i="2"/>
  <c r="F137" i="2"/>
  <c r="F136" i="2"/>
  <c r="F135" i="2"/>
  <c r="F134" i="2"/>
  <c r="F133" i="2"/>
  <c r="F132" i="2"/>
  <c r="F131" i="2"/>
  <c r="F130" i="2"/>
  <c r="F129" i="2"/>
  <c r="F128" i="2"/>
  <c r="F127" i="2"/>
  <c r="F126" i="2"/>
  <c r="F125" i="2"/>
  <c r="F124" i="2"/>
  <c r="F123" i="2"/>
  <c r="F121" i="2"/>
  <c r="F120" i="2"/>
  <c r="F119" i="2"/>
  <c r="F118" i="2"/>
  <c r="F117" i="2"/>
  <c r="F116" i="2"/>
  <c r="F115" i="2"/>
  <c r="F114" i="2"/>
  <c r="F113" i="2"/>
  <c r="F112" i="2"/>
  <c r="F111" i="2"/>
  <c r="F110" i="2"/>
  <c r="F109" i="2"/>
  <c r="F108" i="2"/>
  <c r="F107" i="2"/>
  <c r="F106" i="2"/>
  <c r="F105" i="2"/>
  <c r="F104" i="2"/>
  <c r="F103" i="2"/>
  <c r="F102" i="2"/>
  <c r="F101" i="2"/>
  <c r="F99" i="2"/>
  <c r="F98" i="2"/>
  <c r="F97" i="2"/>
  <c r="F96" i="2"/>
  <c r="F95" i="2"/>
  <c r="F94" i="2"/>
  <c r="F93" i="2"/>
  <c r="F92" i="2"/>
  <c r="F91" i="2"/>
  <c r="F90" i="2"/>
  <c r="F89" i="2"/>
  <c r="F88" i="2"/>
  <c r="F87" i="2"/>
  <c r="F86" i="2"/>
  <c r="F85" i="2"/>
  <c r="F84" i="2"/>
  <c r="F83" i="2"/>
  <c r="F82" i="2"/>
  <c r="F81" i="2"/>
  <c r="F80" i="2"/>
  <c r="F79" i="2"/>
  <c r="F77" i="2"/>
  <c r="F76" i="2"/>
  <c r="F75" i="2"/>
  <c r="F74" i="2"/>
  <c r="F73" i="2"/>
  <c r="F72" i="2"/>
  <c r="F71" i="2"/>
  <c r="F70" i="2"/>
  <c r="F69" i="2"/>
  <c r="F68" i="2"/>
  <c r="F67" i="2"/>
  <c r="F66" i="2"/>
  <c r="F65" i="2"/>
  <c r="F64" i="2"/>
  <c r="F63" i="2"/>
  <c r="F62" i="2"/>
  <c r="F61" i="2"/>
  <c r="F60" i="2"/>
  <c r="F59" i="2"/>
  <c r="F58" i="2"/>
  <c r="F57" i="2"/>
  <c r="F55" i="2"/>
  <c r="F54" i="2"/>
  <c r="F53" i="2"/>
  <c r="F52" i="2"/>
  <c r="F51" i="2"/>
  <c r="F50" i="2"/>
  <c r="F49" i="2"/>
  <c r="F47" i="2"/>
  <c r="F46" i="2"/>
  <c r="F45" i="2"/>
  <c r="F44" i="2"/>
  <c r="F43" i="2"/>
  <c r="F42" i="2"/>
  <c r="F41" i="2"/>
  <c r="F40" i="2"/>
  <c r="F39" i="2"/>
  <c r="F38" i="2"/>
  <c r="F37" i="2"/>
  <c r="F36" i="2"/>
  <c r="F35" i="2"/>
  <c r="F33" i="2"/>
  <c r="F32" i="2"/>
  <c r="F31" i="2"/>
  <c r="F30" i="2"/>
  <c r="F29" i="2"/>
  <c r="F28" i="2"/>
  <c r="F27" i="2"/>
  <c r="F25" i="2"/>
  <c r="F24" i="2"/>
  <c r="F23" i="2"/>
  <c r="F22" i="2"/>
  <c r="F21" i="2"/>
  <c r="F20" i="2"/>
  <c r="F19" i="2"/>
  <c r="F18" i="2"/>
  <c r="F17" i="2"/>
  <c r="F16" i="2"/>
  <c r="F15" i="2"/>
  <c r="F14"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N9" i="2"/>
  <c r="A2" i="2" l="1"/>
  <c r="A9" i="2" s="1"/>
  <c r="N8" i="1" l="1"/>
  <c r="M8" i="1"/>
  <c r="L8" i="1"/>
  <c r="K8" i="1"/>
  <c r="J8" i="1"/>
  <c r="I8" i="1"/>
  <c r="H8" i="1"/>
  <c r="G8" i="1"/>
</calcChain>
</file>

<file path=xl/sharedStrings.xml><?xml version="1.0" encoding="utf-8"?>
<sst xmlns="http://schemas.openxmlformats.org/spreadsheetml/2006/main" count="841" uniqueCount="273">
  <si>
    <t>A1</t>
  </si>
  <si>
    <t>Land is in possession of commissioning client</t>
  </si>
  <si>
    <t>A2</t>
  </si>
  <si>
    <t>Client intends to deliver completed development</t>
  </si>
  <si>
    <t>A3</t>
  </si>
  <si>
    <t>Client intends to own and operate the completed building</t>
  </si>
  <si>
    <t>A4</t>
  </si>
  <si>
    <t>Clearly defined end users and target markets included in brief</t>
  </si>
  <si>
    <t>A5</t>
  </si>
  <si>
    <t>All potential project stakeholders identified and engaged</t>
  </si>
  <si>
    <t>A6</t>
  </si>
  <si>
    <t>Comprehensive design team appointed</t>
  </si>
  <si>
    <t>A7</t>
  </si>
  <si>
    <t>Comprehensive background information supporting feasibility work</t>
  </si>
  <si>
    <t>A8</t>
  </si>
  <si>
    <t>A9</t>
  </si>
  <si>
    <t>Planning application submitted at which RIBA workstage?</t>
  </si>
  <si>
    <t>A10</t>
  </si>
  <si>
    <t>A11</t>
  </si>
  <si>
    <t>Clearly defined sustainability objectives</t>
  </si>
  <si>
    <t>A12</t>
  </si>
  <si>
    <t>Fire safety analysis carried out</t>
  </si>
  <si>
    <t>B1</t>
  </si>
  <si>
    <t>OpEx carries significant weighting in tender scoring</t>
  </si>
  <si>
    <t>B2</t>
  </si>
  <si>
    <t>B3</t>
  </si>
  <si>
    <t>Soft landings process implemented</t>
  </si>
  <si>
    <t>B4</t>
  </si>
  <si>
    <t>Warranty provider has active role in materials selection</t>
  </si>
  <si>
    <t>B5</t>
  </si>
  <si>
    <t>B6</t>
  </si>
  <si>
    <t>FM team active in design decisions and commissioning process</t>
  </si>
  <si>
    <t>B7</t>
  </si>
  <si>
    <t>FM team involved in POE process</t>
  </si>
  <si>
    <t>B8</t>
  </si>
  <si>
    <t>POE includes user / occupier satisfaction survey</t>
  </si>
  <si>
    <t>B9</t>
  </si>
  <si>
    <t>POE feedback acted upon</t>
  </si>
  <si>
    <t>B10</t>
  </si>
  <si>
    <t>Defects rectified and validated</t>
  </si>
  <si>
    <t>B11</t>
  </si>
  <si>
    <t>Exercise conducted on lessons learned from previous projects</t>
  </si>
  <si>
    <t>B12</t>
  </si>
  <si>
    <t>H&amp;S issues identified and mitigated</t>
  </si>
  <si>
    <t>C1</t>
  </si>
  <si>
    <t>Client's budget can accommodate cost increases if it adds value</t>
  </si>
  <si>
    <t>C2</t>
  </si>
  <si>
    <t>Project costs calculated cautiously per sqm and within budget</t>
  </si>
  <si>
    <t>C3</t>
  </si>
  <si>
    <t>Budget has been benchmarked against appropriate quality</t>
  </si>
  <si>
    <t>C4</t>
  </si>
  <si>
    <t>Adjustable Contract Sum (no GMP or NTE clauses)</t>
  </si>
  <si>
    <t>C5</t>
  </si>
  <si>
    <t>ERs name products and materials in specification</t>
  </si>
  <si>
    <t>C6</t>
  </si>
  <si>
    <t>Provisional sums constitute insignificant proportion of total budget</t>
  </si>
  <si>
    <t>C7</t>
  </si>
  <si>
    <t>Tenders are invited to make suitable allowance for contingencies</t>
  </si>
  <si>
    <t>C8</t>
  </si>
  <si>
    <t>OpEx budget allowed for initial life of building (1-3 years)</t>
  </si>
  <si>
    <t>C9</t>
  </si>
  <si>
    <t>OpEx for initial life of building (1-3 years) within budget</t>
  </si>
  <si>
    <t>C10</t>
  </si>
  <si>
    <t>Contingency budget allowed for early teething problems (1-3 years)</t>
  </si>
  <si>
    <t>C11</t>
  </si>
  <si>
    <t>Cost of early teething problems within budget</t>
  </si>
  <si>
    <t>C12</t>
  </si>
  <si>
    <t>Design gap analysis completed for this stage (refer to checklist)</t>
  </si>
  <si>
    <t>D1</t>
  </si>
  <si>
    <t>Time to handover is not the most important factor</t>
  </si>
  <si>
    <t>D2</t>
  </si>
  <si>
    <t>Design programme allows for a comprehensive, iterative process</t>
  </si>
  <si>
    <t>D3</t>
  </si>
  <si>
    <t>Estimated construction programme considered comfortable</t>
  </si>
  <si>
    <t>D4</t>
  </si>
  <si>
    <t>D5</t>
  </si>
  <si>
    <t>D6</t>
  </si>
  <si>
    <t>Key programme issues are within control of client and project team</t>
  </si>
  <si>
    <t>D7</t>
  </si>
  <si>
    <t>D8</t>
  </si>
  <si>
    <t>Project has financing support</t>
  </si>
  <si>
    <t>D9</t>
  </si>
  <si>
    <t>Project has end user and investor support</t>
  </si>
  <si>
    <t>D10</t>
  </si>
  <si>
    <t>D11</t>
  </si>
  <si>
    <t>D12</t>
  </si>
  <si>
    <t>E1</t>
  </si>
  <si>
    <t>Straightforward construction methodology</t>
  </si>
  <si>
    <t>E2</t>
  </si>
  <si>
    <t>Tender packages unambiguous and comprehensively documented</t>
  </si>
  <si>
    <t>E3</t>
  </si>
  <si>
    <t>ERs specify required quality of materials &amp; workmanship</t>
  </si>
  <si>
    <t>E4</t>
  </si>
  <si>
    <t>Design does not require significant subcontractor design input</t>
  </si>
  <si>
    <t>E5</t>
  </si>
  <si>
    <t>E6</t>
  </si>
  <si>
    <t>Project team has engaged early with main contractors</t>
  </si>
  <si>
    <t>E7</t>
  </si>
  <si>
    <t>Project team has engaged early with supply chain</t>
  </si>
  <si>
    <t>E8</t>
  </si>
  <si>
    <t>Project team has identified key specialisms likely to be required</t>
  </si>
  <si>
    <t>E9</t>
  </si>
  <si>
    <t>E10</t>
  </si>
  <si>
    <t>E11</t>
  </si>
  <si>
    <t>E12</t>
  </si>
  <si>
    <t>F1</t>
  </si>
  <si>
    <t>Collaborative approach to risk-sharing across team</t>
  </si>
  <si>
    <t>F2</t>
  </si>
  <si>
    <t>F3</t>
  </si>
  <si>
    <t>Open-book arrangements on costs and margins</t>
  </si>
  <si>
    <t>F4</t>
  </si>
  <si>
    <t>Transparent methodology for allocating costs between parties</t>
  </si>
  <si>
    <t>F5</t>
  </si>
  <si>
    <t>F6</t>
  </si>
  <si>
    <t>Coordinated contractual arrangements between trade contractors</t>
  </si>
  <si>
    <t>F7</t>
  </si>
  <si>
    <t>Partnering / alliancing contracts and integrated project insurance</t>
  </si>
  <si>
    <t>F8</t>
  </si>
  <si>
    <t>Project team has experience of working collaboratively</t>
  </si>
  <si>
    <t>F9</t>
  </si>
  <si>
    <t>F10</t>
  </si>
  <si>
    <t>F11</t>
  </si>
  <si>
    <t>F12</t>
  </si>
  <si>
    <t>Likelihood of Development Proceeding to Construction</t>
  </si>
  <si>
    <t>A</t>
  </si>
  <si>
    <t>Stage</t>
  </si>
  <si>
    <t>A13</t>
  </si>
  <si>
    <t>A14</t>
  </si>
  <si>
    <t>A15</t>
  </si>
  <si>
    <t>A16</t>
  </si>
  <si>
    <t>A17</t>
  </si>
  <si>
    <t>A18</t>
  </si>
  <si>
    <t>A19</t>
  </si>
  <si>
    <t>A20</t>
  </si>
  <si>
    <t>Quality Tracker</t>
  </si>
  <si>
    <t>Overall Quality Statement:</t>
  </si>
  <si>
    <t xml:space="preserve">If there is a high degree of confidence about the final outcome, early investment in a rigorous design process should yield a more robust solution with cost and programme benefits later on.
Where there is limited confidence in the final outcome, the client will want to limit upfront expenditure. But if pre-planning design &amp; survey costs are minimised, this increases the likelihood of post-planning redesign with associated implications on cost and programme. </t>
  </si>
  <si>
    <t>yes</t>
  </si>
  <si>
    <t>no</t>
  </si>
  <si>
    <t>n/a</t>
  </si>
  <si>
    <t>Brief explanation or reference to supporting material</t>
  </si>
  <si>
    <t>click answer below</t>
  </si>
  <si>
    <t>comment</t>
  </si>
  <si>
    <t>ActiveStage</t>
  </si>
  <si>
    <t>ViewStage</t>
  </si>
  <si>
    <t>Strategic Definition</t>
  </si>
  <si>
    <t>Concept Design</t>
  </si>
  <si>
    <t>Developed Design</t>
  </si>
  <si>
    <t>Technical Design</t>
  </si>
  <si>
    <t>Construction</t>
  </si>
  <si>
    <t>In Use</t>
  </si>
  <si>
    <t>partly</t>
  </si>
  <si>
    <t>✎</t>
  </si>
  <si>
    <t>BREAK</t>
  </si>
  <si>
    <t>Project Name</t>
  </si>
  <si>
    <t>Client</t>
  </si>
  <si>
    <t>Lead Designer</t>
  </si>
  <si>
    <t>Contractor</t>
  </si>
  <si>
    <t>Preparation &amp; Brief</t>
  </si>
  <si>
    <t>Handover &amp; Close Out</t>
  </si>
  <si>
    <t>Reasoning</t>
  </si>
  <si>
    <t>B13</t>
  </si>
  <si>
    <t>B14</t>
  </si>
  <si>
    <t>B15</t>
  </si>
  <si>
    <t>B16</t>
  </si>
  <si>
    <t>B17</t>
  </si>
  <si>
    <t>B18</t>
  </si>
  <si>
    <t>B19</t>
  </si>
  <si>
    <t>B20</t>
  </si>
  <si>
    <t>C13</t>
  </si>
  <si>
    <t>C14</t>
  </si>
  <si>
    <t>C15</t>
  </si>
  <si>
    <t>C16</t>
  </si>
  <si>
    <t>C17</t>
  </si>
  <si>
    <t>C18</t>
  </si>
  <si>
    <t>C19</t>
  </si>
  <si>
    <t>C20</t>
  </si>
  <si>
    <t>D13</t>
  </si>
  <si>
    <t>D14</t>
  </si>
  <si>
    <t>D15</t>
  </si>
  <si>
    <t>D16</t>
  </si>
  <si>
    <t>D17</t>
  </si>
  <si>
    <t>D18</t>
  </si>
  <si>
    <t>D19</t>
  </si>
  <si>
    <t>D20</t>
  </si>
  <si>
    <t>E13</t>
  </si>
  <si>
    <t>E14</t>
  </si>
  <si>
    <t>E15</t>
  </si>
  <si>
    <t>E16</t>
  </si>
  <si>
    <t>E17</t>
  </si>
  <si>
    <t>E18</t>
  </si>
  <si>
    <t>E19</t>
  </si>
  <si>
    <t>E20</t>
  </si>
  <si>
    <t>F13</t>
  </si>
  <si>
    <t>F14</t>
  </si>
  <si>
    <t>F15</t>
  </si>
  <si>
    <t>F16</t>
  </si>
  <si>
    <t>F17</t>
  </si>
  <si>
    <t>F18</t>
  </si>
  <si>
    <t>F19</t>
  </si>
  <si>
    <t>F20</t>
  </si>
  <si>
    <t>Show</t>
  </si>
  <si>
    <t>InitialShw</t>
  </si>
  <si>
    <t>+ Add Risk Indicator</t>
  </si>
  <si>
    <t>B</t>
  </si>
  <si>
    <t>C</t>
  </si>
  <si>
    <t>D</t>
  </si>
  <si>
    <t>E</t>
  </si>
  <si>
    <t>F</t>
  </si>
  <si>
    <t>Attitude to Maintenance &amp; Longevity</t>
  </si>
  <si>
    <t>Attitude to
Cost Certainty</t>
  </si>
  <si>
    <t>Attitude to
Programme Certainty</t>
  </si>
  <si>
    <t>Likelihood of Obtaining Competitive Tenders</t>
  </si>
  <si>
    <t xml:space="preserve">⬅ Back To Summary  </t>
  </si>
  <si>
    <t>aplicability</t>
  </si>
  <si>
    <t>Attitude to 
Collaboration</t>
  </si>
  <si>
    <t>click on the cells below to view or edit the risk levels of each stage</t>
  </si>
  <si>
    <t>Role</t>
  </si>
  <si>
    <t>Organisation</t>
  </si>
  <si>
    <t>High confidence of obtaining planning approval</t>
  </si>
  <si>
    <t>All significant planning conditions have been discharged</t>
  </si>
  <si>
    <t>Mid St 3</t>
  </si>
  <si>
    <t>St 2</t>
  </si>
  <si>
    <t>End St 3</t>
  </si>
  <si>
    <t>Clerk of Works / independent inspector will be appointed</t>
  </si>
  <si>
    <t>As-built works and materials conform to Building Control approved drawings</t>
  </si>
  <si>
    <t>Client shares risk for delays beyond the contractor's control</t>
  </si>
  <si>
    <t>Key milestones relative to project start are not absolute</t>
  </si>
  <si>
    <t>Project plan consistent with planning and statutory constraints</t>
  </si>
  <si>
    <t>Project Lead accepts contractor's material substitutions obtained</t>
  </si>
  <si>
    <t>Client shares responsibility for risks beyond contractor's control</t>
  </si>
  <si>
    <t>Design responsibility matrix coordinated between all parties</t>
  </si>
  <si>
    <t>Clients who take a hands-off approach towards the specification of products and materials can expect competitive tenderers to price for the lowest cost alternatives on the market.
Adopting a project costing methodology that takes into account both CapEx &amp; OpEx (with suitable gearing)  enables products, materials and workmanship to be specified on the basis of quality and durability as well as cost.</t>
  </si>
  <si>
    <t>Where the date for planning approval or for practical completion and handover are critical, quality may need to be a secondary or tertiary consideration.
Quality is also at risk where land acquisition, or other agreements are conditional on planning approval being achieved within restricted timescales and incomplete design team appointments. Positive indicators include procurement strategies and allowance for early contractor engagement during the tendering period.</t>
  </si>
  <si>
    <t>Contractual arrangements that allocate risk exclusively to individual parties and take an adversarial approach to dispute resolution, are not likely to engender a collaborative response between the team members. When complex problems arise involving multiple parties, the first response will be to act defensively and seek to deflect blame.</t>
  </si>
  <si>
    <t>When tender documentation is comprehensive and there is a large pool of interchangeable competitors, there is less need to engage the supply chain early.
Two-stage tendering is useful if the project requires specialist construction techniques (eg offsite systems). By getting early engagement from the supply chain, the design can be tailored to the system and more accurate costs established.</t>
  </si>
  <si>
    <t>Where the budget can vary as the brief is developed, it may be acceptable to maintain an indicative cost plan based on area measurements. This will permit greater design flexibility during the early stages.
If there is a fixed budget and no flexibility to vary the brief, it is important to establish an accurate cost plan using sophisticated estimating techniques, otherwise the project could reach an advanced stage of design and suddenly encounter viability problems.</t>
  </si>
  <si>
    <t>Site Address</t>
  </si>
  <si>
    <t>Representative</t>
  </si>
  <si>
    <t>Quality Custodians</t>
  </si>
  <si>
    <t>Project Lead</t>
  </si>
  <si>
    <t>representative</t>
  </si>
  <si>
    <t>org</t>
  </si>
  <si>
    <t>Signed</t>
  </si>
  <si>
    <t>Date</t>
  </si>
  <si>
    <t>❓ Tool Guidance</t>
  </si>
  <si>
    <t>❓  Glossary</t>
  </si>
  <si>
    <t xml:space="preserve">❓ Tool Guidance </t>
  </si>
  <si>
    <t>❓ Glossary</t>
  </si>
  <si>
    <t>Glossary</t>
  </si>
  <si>
    <t>FM</t>
  </si>
  <si>
    <t>Facilities Management</t>
  </si>
  <si>
    <t>BC</t>
  </si>
  <si>
    <t>Building Control</t>
  </si>
  <si>
    <t>POE</t>
  </si>
  <si>
    <t>Post Occupancy Evaluation</t>
  </si>
  <si>
    <t>H&amp;S</t>
  </si>
  <si>
    <t>Health &amp; Safety</t>
  </si>
  <si>
    <t>GMP</t>
  </si>
  <si>
    <t>Guaranteed Maximum Price</t>
  </si>
  <si>
    <t>NTE</t>
  </si>
  <si>
    <t>Not to Exceed</t>
  </si>
  <si>
    <t>ERs</t>
  </si>
  <si>
    <t>Employer's Requirements</t>
  </si>
  <si>
    <t>NHBC</t>
  </si>
  <si>
    <t>National House-Building Council</t>
  </si>
  <si>
    <t>BCO</t>
  </si>
  <si>
    <t>British Council for Offices</t>
  </si>
  <si>
    <t>HTM</t>
  </si>
  <si>
    <t>Health Technical Memoranda</t>
  </si>
  <si>
    <t>Revert to</t>
  </si>
  <si>
    <t>Activate</t>
  </si>
  <si>
    <t>Currently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</si>
</sst>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0;;;@"/>
    <numFmt numFmtId="165" formatCode="_(* #,##0_);_(* \(#,##0\);_(* &quot;-&quot;??_);_(@_)"/>
  </numFmts>
  <fonts count="73" x14ac:knownFonts="1">
    <font>
      <sz val="12"/>
      <color theme="1"/>
      <name val="Calibri"/>
      <family val="2"/>
      <scheme val="minor"/>
    </font>
    <font>
      <sz val="12"/>
      <color theme="1"/>
      <name val="Arial"/>
      <family val="2"/>
    </font>
    <font>
      <sz val="14"/>
      <color theme="1"/>
      <name val="Arial"/>
      <family val="2"/>
    </font>
    <font>
      <sz val="22"/>
      <color theme="1"/>
      <name val="Arial"/>
      <family val="2"/>
    </font>
    <font>
      <sz val="12"/>
      <color theme="0"/>
      <name val="Arial"/>
      <family val="2"/>
    </font>
    <font>
      <sz val="36"/>
      <color theme="1"/>
      <name val="Arial"/>
      <family val="2"/>
    </font>
    <font>
      <sz val="10"/>
      <color theme="1"/>
      <name val="Arial"/>
      <family val="2"/>
    </font>
    <font>
      <sz val="36"/>
      <color theme="0"/>
      <name val="Arial"/>
      <family val="2"/>
    </font>
    <font>
      <sz val="36"/>
      <name val="Arial"/>
      <family val="2"/>
    </font>
    <font>
      <b/>
      <sz val="12"/>
      <color theme="1"/>
      <name val="Arial"/>
      <family val="2"/>
    </font>
    <font>
      <i/>
      <sz val="12"/>
      <color theme="0" tint="-0.499984740745262"/>
      <name val="Arial"/>
      <family val="2"/>
    </font>
    <font>
      <u/>
      <sz val="12"/>
      <color theme="10"/>
      <name val="Calibri"/>
      <family val="2"/>
      <scheme val="minor"/>
    </font>
    <font>
      <b/>
      <sz val="36"/>
      <color theme="3"/>
      <name val="Arial"/>
      <family val="2"/>
    </font>
    <font>
      <sz val="12"/>
      <color rgb="FFFF0000"/>
      <name val="Arial"/>
      <family val="2"/>
    </font>
    <font>
      <i/>
      <sz val="12"/>
      <color theme="2" tint="-0.499984740745262"/>
      <name val="Arial"/>
      <family val="2"/>
    </font>
    <font>
      <b/>
      <sz val="35"/>
      <color theme="2" tint="-0.499984740745262"/>
      <name val="Arial"/>
      <family val="2"/>
    </font>
    <font>
      <sz val="10"/>
      <name val="Arial"/>
      <family val="2"/>
    </font>
    <font>
      <b/>
      <sz val="10"/>
      <color theme="1"/>
      <name val="Arial"/>
      <family val="2"/>
    </font>
    <font>
      <sz val="10"/>
      <color rgb="FF7030A0"/>
      <name val="Arial"/>
      <family val="2"/>
    </font>
    <font>
      <sz val="11"/>
      <color theme="1"/>
      <name val="Arial"/>
      <family val="2"/>
    </font>
    <font>
      <sz val="10"/>
      <color theme="5"/>
      <name val="Arial"/>
      <family val="2"/>
    </font>
    <font>
      <sz val="9"/>
      <color theme="5"/>
      <name val="Arial"/>
      <family val="2"/>
    </font>
    <font>
      <sz val="10"/>
      <color theme="9"/>
      <name val="Calibri"/>
      <family val="2"/>
      <scheme val="minor"/>
    </font>
    <font>
      <sz val="10"/>
      <color theme="5"/>
      <name val="Calibri"/>
      <family val="2"/>
      <scheme val="minor"/>
    </font>
    <font>
      <sz val="10"/>
      <color rgb="FFFF0000"/>
      <name val="Calibri"/>
      <family val="2"/>
      <scheme val="minor"/>
    </font>
    <font>
      <sz val="10"/>
      <color theme="0" tint="-0.499984740745262"/>
      <name val="Calibri"/>
      <family val="2"/>
      <scheme val="minor"/>
    </font>
    <font>
      <sz val="10"/>
      <color theme="9"/>
      <name val="Arial"/>
      <family val="2"/>
    </font>
    <font>
      <sz val="10"/>
      <color rgb="FFFF0000"/>
      <name val="Arial"/>
      <family val="2"/>
    </font>
    <font>
      <sz val="10"/>
      <color theme="0" tint="-0.499984740745262"/>
      <name val="Arial"/>
      <family val="2"/>
    </font>
    <font>
      <u/>
      <sz val="10"/>
      <color theme="10"/>
      <name val="Calibri"/>
      <family val="2"/>
      <scheme val="minor"/>
    </font>
    <font>
      <sz val="10"/>
      <color rgb="FFFF6699"/>
      <name val="Calibri"/>
      <family val="2"/>
      <scheme val="minor"/>
    </font>
    <font>
      <sz val="10"/>
      <color rgb="FF0099CC"/>
      <name val="Calibri"/>
      <family val="2"/>
      <scheme val="minor"/>
    </font>
    <font>
      <sz val="10"/>
      <color rgb="FF339966"/>
      <name val="Calibri"/>
      <family val="2"/>
      <scheme val="minor"/>
    </font>
    <font>
      <sz val="10"/>
      <color rgb="FF6666FF"/>
      <name val="Calibri"/>
      <family val="2"/>
      <scheme val="minor"/>
    </font>
    <font>
      <sz val="9"/>
      <color rgb="FFFF6699"/>
      <name val="Arial"/>
      <family val="2"/>
    </font>
    <font>
      <sz val="8"/>
      <color rgb="FF0099CC"/>
      <name val="Arial"/>
      <family val="2"/>
    </font>
    <font>
      <sz val="8"/>
      <color rgb="FF339966"/>
      <name val="Arial"/>
      <family val="2"/>
    </font>
    <font>
      <sz val="8"/>
      <color rgb="FF6666FF"/>
      <name val="Arial"/>
      <family val="2"/>
    </font>
    <font>
      <sz val="8"/>
      <color theme="8" tint="-0.249977111117893"/>
      <name val="Arial"/>
      <family val="2"/>
    </font>
    <font>
      <i/>
      <sz val="10"/>
      <color theme="0" tint="-0.499984740745262"/>
      <name val="Arial"/>
      <family val="2"/>
    </font>
    <font>
      <sz val="14"/>
      <color theme="2" tint="-0.499984740745262"/>
      <name val="Arial"/>
      <family val="2"/>
    </font>
    <font>
      <sz val="12"/>
      <color theme="2" tint="-0.499984740745262"/>
      <name val="Arial"/>
      <family val="2"/>
    </font>
    <font>
      <sz val="10"/>
      <color theme="2" tint="-0.499984740745262"/>
      <name val="Arial"/>
      <family val="2"/>
    </font>
    <font>
      <sz val="12"/>
      <color theme="2" tint="-0.499984740745262"/>
      <name val="Calibri"/>
      <family val="2"/>
      <scheme val="minor"/>
    </font>
    <font>
      <b/>
      <sz val="24"/>
      <color theme="4" tint="-0.249977111117893"/>
      <name val="Arial"/>
      <family val="2"/>
    </font>
    <font>
      <b/>
      <sz val="30"/>
      <color theme="1" tint="0.14999847407452621"/>
      <name val="Arial"/>
      <family val="2"/>
    </font>
    <font>
      <sz val="10"/>
      <color rgb="FFFF9933"/>
      <name val="Calibri"/>
      <family val="2"/>
      <scheme val="minor"/>
    </font>
    <font>
      <sz val="10"/>
      <color theme="4" tint="-0.249977111117893"/>
      <name val="Calibri"/>
      <family val="2"/>
      <scheme val="minor"/>
    </font>
    <font>
      <sz val="14"/>
      <color theme="0"/>
      <name val="Arial"/>
      <family val="2"/>
    </font>
    <font>
      <sz val="12"/>
      <color theme="0"/>
      <name val="Calibri"/>
      <family val="2"/>
      <scheme val="minor"/>
    </font>
    <font>
      <sz val="9"/>
      <color theme="1"/>
      <name val="Arial"/>
      <family val="2"/>
    </font>
    <font>
      <i/>
      <sz val="10"/>
      <name val="Calibri"/>
      <family val="2"/>
      <scheme val="minor"/>
    </font>
    <font>
      <sz val="10"/>
      <color theme="0"/>
      <name val="Arial"/>
      <family val="2"/>
    </font>
    <font>
      <sz val="11"/>
      <color theme="0"/>
      <name val="Arial"/>
      <family val="2"/>
    </font>
    <font>
      <sz val="16"/>
      <color theme="0"/>
      <name val="Arial"/>
      <family val="2"/>
    </font>
    <font>
      <sz val="28"/>
      <color theme="3"/>
      <name val="Arial"/>
      <family val="2"/>
    </font>
    <font>
      <b/>
      <sz val="28"/>
      <color theme="0"/>
      <name val="Arial"/>
      <family val="2"/>
    </font>
    <font>
      <i/>
      <sz val="10"/>
      <color theme="1"/>
      <name val="Arial"/>
      <family val="2"/>
    </font>
    <font>
      <sz val="10"/>
      <color theme="8" tint="-0.249977111117893"/>
      <name val="Arial"/>
      <family val="2"/>
    </font>
    <font>
      <sz val="10"/>
      <color rgb="FF6666FF"/>
      <name val="Arial"/>
      <family val="2"/>
    </font>
    <font>
      <sz val="10"/>
      <color rgb="FF339966"/>
      <name val="Arial"/>
      <family val="2"/>
    </font>
    <font>
      <sz val="10"/>
      <color rgb="FF0099CC"/>
      <name val="Arial"/>
      <family val="2"/>
    </font>
    <font>
      <sz val="10"/>
      <color rgb="FFFF6699"/>
      <name val="Arial"/>
      <family val="2"/>
    </font>
    <font>
      <sz val="12"/>
      <color theme="1"/>
      <name val="Calibri"/>
      <family val="2"/>
      <scheme val="minor"/>
    </font>
    <font>
      <b/>
      <sz val="14"/>
      <color theme="0"/>
      <name val="Arial"/>
      <family val="2"/>
    </font>
    <font>
      <b/>
      <sz val="10"/>
      <color theme="2" tint="-0.499984740745262"/>
      <name val="Arial"/>
      <family val="2"/>
    </font>
    <font>
      <b/>
      <sz val="10"/>
      <color theme="3"/>
      <name val="Arial"/>
      <family val="2"/>
    </font>
    <font>
      <b/>
      <u/>
      <sz val="12"/>
      <color theme="1"/>
      <name val="Arial"/>
      <family val="2"/>
    </font>
    <font>
      <u/>
      <sz val="14"/>
      <color theme="1"/>
      <name val="Arial"/>
      <family val="2"/>
    </font>
    <font>
      <u/>
      <sz val="12"/>
      <color theme="2" tint="-0.499984740745262"/>
      <name val="Arial"/>
      <family val="2"/>
    </font>
    <font>
      <b/>
      <sz val="12"/>
      <color theme="2" tint="-0.499984740745262"/>
      <name val="Arial"/>
      <family val="2"/>
    </font>
    <font>
      <sz val="8"/>
      <color theme="1"/>
      <name val="Arial"/>
      <family val="2"/>
    </font>
    <font>
      <b/>
      <sz val="28"/>
      <color theme="1"/>
      <name val="Arial"/>
      <family val="2"/>
    </font>
  </fonts>
  <fills count="16">
    <fill>
      <patternFill patternType="none"/>
    </fill>
    <fill>
      <patternFill patternType="gray125"/>
    </fill>
    <fill>
      <patternFill patternType="solid">
        <fgColor rgb="FFFEFFEE"/>
        <bgColor indexed="64"/>
      </patternFill>
    </fill>
    <fill>
      <patternFill patternType="solid">
        <fgColor rgb="FFFFFFF0"/>
        <bgColor indexed="64"/>
      </patternFill>
    </fill>
    <fill>
      <patternFill patternType="solid">
        <fgColor rgb="FF0099CC"/>
        <bgColor indexed="64"/>
      </patternFill>
    </fill>
    <fill>
      <patternFill patternType="solid">
        <fgColor rgb="FFFF6699"/>
        <bgColor indexed="64"/>
      </patternFill>
    </fill>
    <fill>
      <patternFill patternType="solid">
        <fgColor rgb="FFFF9933"/>
        <bgColor indexed="64"/>
      </patternFill>
    </fill>
    <fill>
      <patternFill patternType="solid">
        <fgColor rgb="FF339966"/>
        <bgColor indexed="64"/>
      </patternFill>
    </fill>
    <fill>
      <patternFill patternType="solid">
        <fgColor rgb="FF6666FF"/>
        <bgColor indexed="64"/>
      </patternFill>
    </fill>
    <fill>
      <patternFill patternType="solid">
        <fgColor theme="4" tint="-0.249977111117893"/>
        <bgColor indexed="64"/>
      </patternFill>
    </fill>
    <fill>
      <patternFill patternType="solid">
        <fgColor rgb="FF00B050"/>
        <bgColor indexed="64"/>
      </patternFill>
    </fill>
    <fill>
      <patternFill patternType="solid">
        <fgColor theme="9"/>
        <bgColor indexed="64"/>
      </patternFill>
    </fill>
    <fill>
      <patternFill patternType="solid">
        <fgColor theme="0" tint="-0.499984740745262"/>
        <bgColor indexed="64"/>
      </patternFill>
    </fill>
    <fill>
      <patternFill patternType="solid">
        <fgColor theme="2" tint="-0.749992370372631"/>
        <bgColor indexed="64"/>
      </patternFill>
    </fill>
    <fill>
      <patternFill patternType="solid">
        <fgColor rgb="FFFFAB53"/>
        <bgColor indexed="64"/>
      </patternFill>
    </fill>
    <fill>
      <patternFill patternType="solid">
        <fgColor theme="4"/>
        <bgColor indexed="64"/>
      </patternFill>
    </fill>
  </fills>
  <borders count="198">
    <border>
      <left/>
      <right/>
      <top/>
      <bottom/>
      <diagonal/>
    </border>
    <border>
      <left style="thin">
        <color rgb="FFDD8944"/>
      </left>
      <right/>
      <top/>
      <bottom/>
      <diagonal/>
    </border>
    <border>
      <left/>
      <right style="thin">
        <color rgb="FFDD8944"/>
      </right>
      <top/>
      <bottom/>
      <diagonal/>
    </border>
    <border>
      <left style="thin">
        <color rgb="FFDD8944"/>
      </left>
      <right/>
      <top/>
      <bottom style="thin">
        <color rgb="FFDD8944"/>
      </bottom>
      <diagonal/>
    </border>
    <border>
      <left/>
      <right style="thin">
        <color rgb="FFDD8944"/>
      </right>
      <top/>
      <bottom style="thin">
        <color rgb="FFDD894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DD8944"/>
      </left>
      <right/>
      <top style="thin">
        <color rgb="FFDD8944"/>
      </top>
      <bottom/>
      <diagonal/>
    </border>
    <border>
      <left/>
      <right style="thin">
        <color rgb="FFDD8944"/>
      </right>
      <top style="thin">
        <color rgb="FFDD8944"/>
      </top>
      <bottom/>
      <diagonal/>
    </border>
    <border>
      <left/>
      <right/>
      <top style="thin">
        <color theme="0" tint="-4.9989318521683403E-2"/>
      </top>
      <bottom style="thin">
        <color theme="0" tint="-4.9989318521683403E-2"/>
      </bottom>
      <diagonal/>
    </border>
    <border>
      <left style="thin">
        <color rgb="FFFF6699"/>
      </left>
      <right/>
      <top style="thin">
        <color rgb="FFFF6699"/>
      </top>
      <bottom/>
      <diagonal/>
    </border>
    <border>
      <left/>
      <right style="thin">
        <color rgb="FFFF6699"/>
      </right>
      <top style="thin">
        <color rgb="FFFF6699"/>
      </top>
      <bottom/>
      <diagonal/>
    </border>
    <border>
      <left style="thin">
        <color rgb="FFFF6699"/>
      </left>
      <right/>
      <top/>
      <bottom/>
      <diagonal/>
    </border>
    <border>
      <left/>
      <right style="thin">
        <color rgb="FFFF6699"/>
      </right>
      <top/>
      <bottom/>
      <diagonal/>
    </border>
    <border>
      <left style="thin">
        <color rgb="FFFF6699"/>
      </left>
      <right/>
      <top/>
      <bottom style="thin">
        <color rgb="FFFF6699"/>
      </bottom>
      <diagonal/>
    </border>
    <border>
      <left/>
      <right style="thin">
        <color rgb="FFFF6699"/>
      </right>
      <top/>
      <bottom style="thin">
        <color rgb="FFFF6699"/>
      </bottom>
      <diagonal/>
    </border>
    <border>
      <left style="thin">
        <color rgb="FFFF6699"/>
      </left>
      <right/>
      <top style="thin">
        <color rgb="FFFF6699"/>
      </top>
      <bottom style="dashed">
        <color theme="0" tint="-4.9989318521683403E-2"/>
      </bottom>
      <diagonal/>
    </border>
    <border>
      <left/>
      <right/>
      <top style="thin">
        <color rgb="FFFF6699"/>
      </top>
      <bottom style="dashed">
        <color theme="0" tint="-4.9989318521683403E-2"/>
      </bottom>
      <diagonal/>
    </border>
    <border>
      <left/>
      <right style="thin">
        <color rgb="FFFF6699"/>
      </right>
      <top style="thin">
        <color rgb="FFFF6699"/>
      </top>
      <bottom style="dashed">
        <color theme="0" tint="-4.9989318521683403E-2"/>
      </bottom>
      <diagonal/>
    </border>
    <border>
      <left style="thin">
        <color rgb="FFFF6699"/>
      </left>
      <right/>
      <top style="dashed">
        <color theme="0" tint="-4.9989318521683403E-2"/>
      </top>
      <bottom style="dashed">
        <color theme="0" tint="-4.9989318521683403E-2"/>
      </bottom>
      <diagonal/>
    </border>
    <border>
      <left/>
      <right/>
      <top style="dashed">
        <color theme="0" tint="-4.9989318521683403E-2"/>
      </top>
      <bottom style="dashed">
        <color theme="0" tint="-4.9989318521683403E-2"/>
      </bottom>
      <diagonal/>
    </border>
    <border>
      <left/>
      <right style="thin">
        <color rgb="FFFF6699"/>
      </right>
      <top style="dashed">
        <color theme="0" tint="-4.9989318521683403E-2"/>
      </top>
      <bottom style="dashed">
        <color theme="0" tint="-4.9989318521683403E-2"/>
      </bottom>
      <diagonal/>
    </border>
    <border>
      <left style="thin">
        <color rgb="FFFF6699"/>
      </left>
      <right/>
      <top style="dashed">
        <color theme="0" tint="-4.9989318521683403E-2"/>
      </top>
      <bottom style="thin">
        <color rgb="FFFF6699"/>
      </bottom>
      <diagonal/>
    </border>
    <border>
      <left/>
      <right/>
      <top style="dashed">
        <color theme="0" tint="-4.9989318521683403E-2"/>
      </top>
      <bottom style="thin">
        <color rgb="FFFF6699"/>
      </bottom>
      <diagonal/>
    </border>
    <border>
      <left/>
      <right style="thin">
        <color rgb="FFFF6699"/>
      </right>
      <top style="dashed">
        <color theme="0" tint="-4.9989318521683403E-2"/>
      </top>
      <bottom style="thin">
        <color rgb="FFFF6699"/>
      </bottom>
      <diagonal/>
    </border>
    <border>
      <left style="thin">
        <color rgb="FF0099CC"/>
      </left>
      <right/>
      <top style="thin">
        <color rgb="FF0099CC"/>
      </top>
      <bottom/>
      <diagonal/>
    </border>
    <border>
      <left/>
      <right style="thin">
        <color rgb="FF0099CC"/>
      </right>
      <top style="thin">
        <color rgb="FF0099CC"/>
      </top>
      <bottom/>
      <diagonal/>
    </border>
    <border>
      <left style="thin">
        <color rgb="FF0099CC"/>
      </left>
      <right/>
      <top/>
      <bottom/>
      <diagonal/>
    </border>
    <border>
      <left/>
      <right style="thin">
        <color rgb="FF0099CC"/>
      </right>
      <top/>
      <bottom/>
      <diagonal/>
    </border>
    <border>
      <left style="thin">
        <color rgb="FF0099CC"/>
      </left>
      <right/>
      <top/>
      <bottom style="thin">
        <color rgb="FF0099CC"/>
      </bottom>
      <diagonal/>
    </border>
    <border>
      <left/>
      <right style="thin">
        <color rgb="FF0099CC"/>
      </right>
      <top/>
      <bottom style="thin">
        <color rgb="FF0099CC"/>
      </bottom>
      <diagonal/>
    </border>
    <border>
      <left style="thin">
        <color rgb="FF0099CC"/>
      </left>
      <right/>
      <top style="thin">
        <color rgb="FF0099CC"/>
      </top>
      <bottom style="dashed">
        <color theme="0" tint="-4.9989318521683403E-2"/>
      </bottom>
      <diagonal/>
    </border>
    <border>
      <left/>
      <right/>
      <top style="thin">
        <color rgb="FF0099CC"/>
      </top>
      <bottom style="dashed">
        <color theme="0" tint="-4.9989318521683403E-2"/>
      </bottom>
      <diagonal/>
    </border>
    <border>
      <left/>
      <right style="thin">
        <color rgb="FF0099CC"/>
      </right>
      <top style="thin">
        <color rgb="FF0099CC"/>
      </top>
      <bottom style="dashed">
        <color theme="0" tint="-4.9989318521683403E-2"/>
      </bottom>
      <diagonal/>
    </border>
    <border>
      <left style="thin">
        <color rgb="FF0099CC"/>
      </left>
      <right/>
      <top style="dashed">
        <color theme="0" tint="-4.9989318521683403E-2"/>
      </top>
      <bottom style="dashed">
        <color theme="0" tint="-4.9989318521683403E-2"/>
      </bottom>
      <diagonal/>
    </border>
    <border>
      <left/>
      <right style="thin">
        <color rgb="FF0099CC"/>
      </right>
      <top style="dashed">
        <color theme="0" tint="-4.9989318521683403E-2"/>
      </top>
      <bottom style="dashed">
        <color theme="0" tint="-4.9989318521683403E-2"/>
      </bottom>
      <diagonal/>
    </border>
    <border>
      <left style="thin">
        <color rgb="FF0099CC"/>
      </left>
      <right/>
      <top style="dashed">
        <color theme="0" tint="-4.9989318521683403E-2"/>
      </top>
      <bottom style="thin">
        <color rgb="FF0099CC"/>
      </bottom>
      <diagonal/>
    </border>
    <border>
      <left/>
      <right/>
      <top style="dashed">
        <color theme="0" tint="-4.9989318521683403E-2"/>
      </top>
      <bottom style="thin">
        <color rgb="FF0099CC"/>
      </bottom>
      <diagonal/>
    </border>
    <border>
      <left/>
      <right style="thin">
        <color rgb="FF0099CC"/>
      </right>
      <top style="dashed">
        <color theme="0" tint="-4.9989318521683403E-2"/>
      </top>
      <bottom style="thin">
        <color rgb="FF0099CC"/>
      </bottom>
      <diagonal/>
    </border>
    <border>
      <left style="thin">
        <color rgb="FF339966"/>
      </left>
      <right/>
      <top style="thin">
        <color rgb="FF339966"/>
      </top>
      <bottom/>
      <diagonal/>
    </border>
    <border>
      <left/>
      <right style="thin">
        <color rgb="FF339966"/>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style="thin">
        <color rgb="FF339966"/>
      </left>
      <right/>
      <top style="thin">
        <color rgb="FF339966"/>
      </top>
      <bottom style="dashed">
        <color theme="0" tint="-4.9989318521683403E-2"/>
      </bottom>
      <diagonal/>
    </border>
    <border>
      <left/>
      <right/>
      <top style="thin">
        <color rgb="FF339966"/>
      </top>
      <bottom style="dashed">
        <color theme="0" tint="-4.9989318521683403E-2"/>
      </bottom>
      <diagonal/>
    </border>
    <border>
      <left/>
      <right style="thin">
        <color rgb="FF339966"/>
      </right>
      <top style="thin">
        <color rgb="FF339966"/>
      </top>
      <bottom style="dashed">
        <color theme="0" tint="-4.9989318521683403E-2"/>
      </bottom>
      <diagonal/>
    </border>
    <border>
      <left style="thin">
        <color rgb="FF339966"/>
      </left>
      <right/>
      <top style="dashed">
        <color theme="0" tint="-4.9989318521683403E-2"/>
      </top>
      <bottom style="dashed">
        <color theme="0" tint="-4.9989318521683403E-2"/>
      </bottom>
      <diagonal/>
    </border>
    <border>
      <left/>
      <right style="thin">
        <color rgb="FF339966"/>
      </right>
      <top style="dashed">
        <color theme="0" tint="-4.9989318521683403E-2"/>
      </top>
      <bottom style="dashed">
        <color theme="0" tint="-4.9989318521683403E-2"/>
      </bottom>
      <diagonal/>
    </border>
    <border>
      <left style="thin">
        <color rgb="FF339966"/>
      </left>
      <right/>
      <top style="dashed">
        <color theme="0" tint="-4.9989318521683403E-2"/>
      </top>
      <bottom style="thin">
        <color rgb="FF339966"/>
      </bottom>
      <diagonal/>
    </border>
    <border>
      <left/>
      <right/>
      <top style="dashed">
        <color theme="0" tint="-4.9989318521683403E-2"/>
      </top>
      <bottom style="thin">
        <color rgb="FF339966"/>
      </bottom>
      <diagonal/>
    </border>
    <border>
      <left/>
      <right style="thin">
        <color rgb="FF339966"/>
      </right>
      <top style="dashed">
        <color theme="0" tint="-4.9989318521683403E-2"/>
      </top>
      <bottom style="thin">
        <color rgb="FF339966"/>
      </bottom>
      <diagonal/>
    </border>
    <border>
      <left style="thin">
        <color rgb="FF6666FF"/>
      </left>
      <right/>
      <top style="thin">
        <color rgb="FF6666FF"/>
      </top>
      <bottom/>
      <diagonal/>
    </border>
    <border>
      <left/>
      <right style="thin">
        <color rgb="FF6666FF"/>
      </right>
      <top style="thin">
        <color rgb="FF6666FF"/>
      </top>
      <bottom/>
      <diagonal/>
    </border>
    <border>
      <left style="thin">
        <color rgb="FF6666FF"/>
      </left>
      <right/>
      <top/>
      <bottom/>
      <diagonal/>
    </border>
    <border>
      <left/>
      <right style="thin">
        <color rgb="FF6666FF"/>
      </right>
      <top/>
      <bottom/>
      <diagonal/>
    </border>
    <border>
      <left style="thin">
        <color rgb="FF6666FF"/>
      </left>
      <right/>
      <top/>
      <bottom style="thin">
        <color rgb="FF6666FF"/>
      </bottom>
      <diagonal/>
    </border>
    <border>
      <left/>
      <right style="thin">
        <color rgb="FF6666FF"/>
      </right>
      <top/>
      <bottom style="thin">
        <color rgb="FF6666FF"/>
      </bottom>
      <diagonal/>
    </border>
    <border>
      <left style="thin">
        <color rgb="FF6666FF"/>
      </left>
      <right/>
      <top style="thin">
        <color rgb="FF6666FF"/>
      </top>
      <bottom style="dashed">
        <color theme="0" tint="-4.9989318521683403E-2"/>
      </bottom>
      <diagonal/>
    </border>
    <border>
      <left/>
      <right/>
      <top style="thin">
        <color rgb="FF6666FF"/>
      </top>
      <bottom style="dashed">
        <color theme="0" tint="-4.9989318521683403E-2"/>
      </bottom>
      <diagonal/>
    </border>
    <border>
      <left/>
      <right style="thin">
        <color rgb="FF6666FF"/>
      </right>
      <top style="thin">
        <color rgb="FF6666FF"/>
      </top>
      <bottom style="dashed">
        <color theme="0" tint="-4.9989318521683403E-2"/>
      </bottom>
      <diagonal/>
    </border>
    <border>
      <left style="thin">
        <color rgb="FF6666FF"/>
      </left>
      <right/>
      <top style="dashed">
        <color theme="0" tint="-4.9989318521683403E-2"/>
      </top>
      <bottom style="dashed">
        <color theme="0" tint="-4.9989318521683403E-2"/>
      </bottom>
      <diagonal/>
    </border>
    <border>
      <left/>
      <right style="thin">
        <color rgb="FF6666FF"/>
      </right>
      <top style="dashed">
        <color theme="0" tint="-4.9989318521683403E-2"/>
      </top>
      <bottom style="dashed">
        <color theme="0" tint="-4.9989318521683403E-2"/>
      </bottom>
      <diagonal/>
    </border>
    <border>
      <left style="thin">
        <color rgb="FF6666FF"/>
      </left>
      <right/>
      <top style="dashed">
        <color theme="0" tint="-4.9989318521683403E-2"/>
      </top>
      <bottom style="thin">
        <color rgb="FF6666FF"/>
      </bottom>
      <diagonal/>
    </border>
    <border>
      <left/>
      <right/>
      <top style="dashed">
        <color theme="0" tint="-4.9989318521683403E-2"/>
      </top>
      <bottom style="thin">
        <color rgb="FF6666FF"/>
      </bottom>
      <diagonal/>
    </border>
    <border>
      <left/>
      <right style="thin">
        <color rgb="FF6666FF"/>
      </right>
      <top style="dashed">
        <color theme="0" tint="-4.9989318521683403E-2"/>
      </top>
      <bottom style="thin">
        <color rgb="FF6666FF"/>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style="dashed">
        <color theme="0" tint="-4.9989318521683403E-2"/>
      </bottom>
      <diagonal/>
    </border>
    <border>
      <left/>
      <right/>
      <top style="thin">
        <color theme="8" tint="-0.24994659260841701"/>
      </top>
      <bottom style="dashed">
        <color theme="0" tint="-4.9989318521683403E-2"/>
      </bottom>
      <diagonal/>
    </border>
    <border>
      <left/>
      <right style="thin">
        <color theme="8" tint="-0.24994659260841701"/>
      </right>
      <top style="thin">
        <color theme="8" tint="-0.24994659260841701"/>
      </top>
      <bottom style="dashed">
        <color theme="0" tint="-4.9989318521683403E-2"/>
      </bottom>
      <diagonal/>
    </border>
    <border>
      <left style="thin">
        <color theme="8" tint="-0.24994659260841701"/>
      </left>
      <right/>
      <top style="dashed">
        <color theme="0" tint="-4.9989318521683403E-2"/>
      </top>
      <bottom style="dashed">
        <color theme="0" tint="-4.9989318521683403E-2"/>
      </bottom>
      <diagonal/>
    </border>
    <border>
      <left/>
      <right style="thin">
        <color theme="8" tint="-0.24994659260841701"/>
      </right>
      <top style="dashed">
        <color theme="0" tint="-4.9989318521683403E-2"/>
      </top>
      <bottom style="dashed">
        <color theme="0" tint="-4.9989318521683403E-2"/>
      </bottom>
      <diagonal/>
    </border>
    <border>
      <left style="thin">
        <color theme="8" tint="-0.24994659260841701"/>
      </left>
      <right/>
      <top style="dashed">
        <color theme="0" tint="-4.9989318521683403E-2"/>
      </top>
      <bottom style="thin">
        <color theme="8" tint="-0.24994659260841701"/>
      </bottom>
      <diagonal/>
    </border>
    <border>
      <left/>
      <right/>
      <top style="dashed">
        <color theme="0" tint="-4.9989318521683403E-2"/>
      </top>
      <bottom style="thin">
        <color theme="8" tint="-0.24994659260841701"/>
      </bottom>
      <diagonal/>
    </border>
    <border>
      <left/>
      <right style="thin">
        <color theme="8" tint="-0.24994659260841701"/>
      </right>
      <top style="dashed">
        <color theme="0" tint="-4.9989318521683403E-2"/>
      </top>
      <bottom style="thin">
        <color theme="8" tint="-0.24994659260841701"/>
      </bottom>
      <diagonal/>
    </border>
    <border>
      <left style="thin">
        <color theme="4" tint="-0.499984740745262"/>
      </left>
      <right style="thin">
        <color theme="4" tint="-0.499984740745262"/>
      </right>
      <top style="thin">
        <color theme="4" tint="-0.499984740745262"/>
      </top>
      <bottom style="thin">
        <color theme="0" tint="-4.9989318521683403E-2"/>
      </bottom>
      <diagonal/>
    </border>
    <border>
      <left style="thin">
        <color theme="4" tint="-0.499984740745262"/>
      </left>
      <right style="thin">
        <color theme="4" tint="-0.499984740745262"/>
      </right>
      <top style="thin">
        <color theme="0" tint="-4.9989318521683403E-2"/>
      </top>
      <bottom style="thin">
        <color theme="0" tint="-4.9989318521683403E-2"/>
      </bottom>
      <diagonal/>
    </border>
    <border>
      <left style="thin">
        <color theme="4" tint="-0.499984740745262"/>
      </left>
      <right style="thin">
        <color theme="4" tint="-0.499984740745262"/>
      </right>
      <top style="thin">
        <color theme="0" tint="-4.9989318521683403E-2"/>
      </top>
      <bottom style="thin">
        <color theme="4" tint="-0.499984740745262"/>
      </bottom>
      <diagonal/>
    </border>
    <border>
      <left/>
      <right/>
      <top style="thin">
        <color rgb="FFDD8944"/>
      </top>
      <bottom/>
      <diagonal/>
    </border>
    <border>
      <left/>
      <right/>
      <top style="thin">
        <color rgb="FFFF6699"/>
      </top>
      <bottom/>
      <diagonal/>
    </border>
    <border>
      <left/>
      <right/>
      <top style="thin">
        <color rgb="FF0099CC"/>
      </top>
      <bottom/>
      <diagonal/>
    </border>
    <border>
      <left/>
      <right/>
      <top style="thin">
        <color rgb="FF339966"/>
      </top>
      <bottom/>
      <diagonal/>
    </border>
    <border>
      <left/>
      <right/>
      <top style="thin">
        <color rgb="FF6666FF"/>
      </top>
      <bottom/>
      <diagonal/>
    </border>
    <border>
      <left/>
      <right/>
      <top style="thin">
        <color theme="8" tint="-0.24994659260841701"/>
      </top>
      <bottom/>
      <diagonal/>
    </border>
    <border>
      <left/>
      <right style="thin">
        <color rgb="FFFF9933"/>
      </right>
      <top/>
      <bottom/>
      <diagonal/>
    </border>
    <border>
      <left/>
      <right style="thin">
        <color theme="4" tint="-0.24994659260841701"/>
      </right>
      <top/>
      <bottom/>
      <diagonal/>
    </border>
    <border>
      <left style="thin">
        <color rgb="FFFFAB53"/>
      </left>
      <right style="thin">
        <color theme="0"/>
      </right>
      <top style="thin">
        <color rgb="FFFFAB53"/>
      </top>
      <bottom style="thin">
        <color theme="0"/>
      </bottom>
      <diagonal/>
    </border>
    <border>
      <left style="thin">
        <color theme="0"/>
      </left>
      <right style="thin">
        <color theme="0"/>
      </right>
      <top style="thin">
        <color rgb="FFFFAB53"/>
      </top>
      <bottom style="thin">
        <color theme="0"/>
      </bottom>
      <diagonal/>
    </border>
    <border>
      <left style="thin">
        <color theme="0"/>
      </left>
      <right style="thin">
        <color rgb="FFFFAB53"/>
      </right>
      <top style="thin">
        <color rgb="FFFFAB53"/>
      </top>
      <bottom style="thin">
        <color theme="0"/>
      </bottom>
      <diagonal/>
    </border>
    <border>
      <left style="thin">
        <color rgb="FFFFAB53"/>
      </left>
      <right style="thin">
        <color theme="0"/>
      </right>
      <top style="thin">
        <color theme="0"/>
      </top>
      <bottom style="thin">
        <color theme="0"/>
      </bottom>
      <diagonal/>
    </border>
    <border>
      <left style="thin">
        <color theme="0"/>
      </left>
      <right style="thin">
        <color rgb="FFFFAB53"/>
      </right>
      <top style="thin">
        <color theme="0"/>
      </top>
      <bottom style="thin">
        <color theme="0"/>
      </bottom>
      <diagonal/>
    </border>
    <border>
      <left/>
      <right/>
      <top style="thin">
        <color theme="4" tint="-0.24994659260841701"/>
      </top>
      <bottom/>
      <diagonal/>
    </border>
    <border>
      <left style="thin">
        <color rgb="FFFF9933"/>
      </left>
      <right/>
      <top style="thin">
        <color rgb="FFFF9933"/>
      </top>
      <bottom style="dashed">
        <color theme="0" tint="-4.9989318521683403E-2"/>
      </bottom>
      <diagonal/>
    </border>
    <border>
      <left/>
      <right style="thin">
        <color rgb="FFFF9933"/>
      </right>
      <top style="thin">
        <color rgb="FFFF9933"/>
      </top>
      <bottom style="dashed">
        <color theme="0" tint="-4.9989318521683403E-2"/>
      </bottom>
      <diagonal/>
    </border>
    <border>
      <left style="thin">
        <color rgb="FFFF9933"/>
      </left>
      <right/>
      <top style="dashed">
        <color theme="0" tint="-4.9989318521683403E-2"/>
      </top>
      <bottom style="dashed">
        <color theme="0" tint="-4.9989318521683403E-2"/>
      </bottom>
      <diagonal/>
    </border>
    <border>
      <left/>
      <right style="thin">
        <color rgb="FFFF9933"/>
      </right>
      <top style="dashed">
        <color theme="0" tint="-4.9989318521683403E-2"/>
      </top>
      <bottom style="dashed">
        <color theme="0" tint="-4.9989318521683403E-2"/>
      </bottom>
      <diagonal/>
    </border>
    <border>
      <left style="thin">
        <color rgb="FFFF9933"/>
      </left>
      <right/>
      <top style="dashed">
        <color theme="0" tint="-4.9989318521683403E-2"/>
      </top>
      <bottom style="thin">
        <color rgb="FFFF9933"/>
      </bottom>
      <diagonal/>
    </border>
    <border>
      <left/>
      <right style="thin">
        <color rgb="FFFF9933"/>
      </right>
      <top style="dashed">
        <color theme="0" tint="-4.9989318521683403E-2"/>
      </top>
      <bottom style="thin">
        <color rgb="FFFF9933"/>
      </bottom>
      <diagonal/>
    </border>
    <border>
      <left style="thin">
        <color rgb="FFFF6699"/>
      </left>
      <right style="thin">
        <color theme="0"/>
      </right>
      <top style="thin">
        <color rgb="FFFF6699"/>
      </top>
      <bottom style="thin">
        <color theme="0"/>
      </bottom>
      <diagonal/>
    </border>
    <border>
      <left style="thin">
        <color theme="0"/>
      </left>
      <right style="thin">
        <color theme="0"/>
      </right>
      <top style="thin">
        <color rgb="FFFF6699"/>
      </top>
      <bottom style="thin">
        <color theme="0"/>
      </bottom>
      <diagonal/>
    </border>
    <border>
      <left style="thin">
        <color theme="0"/>
      </left>
      <right style="thin">
        <color rgb="FFFF6699"/>
      </right>
      <top style="thin">
        <color rgb="FFFF6699"/>
      </top>
      <bottom style="thin">
        <color theme="0"/>
      </bottom>
      <diagonal/>
    </border>
    <border>
      <left style="thin">
        <color rgb="FFFF6699"/>
      </left>
      <right style="thin">
        <color theme="0"/>
      </right>
      <top style="thin">
        <color theme="0"/>
      </top>
      <bottom style="thin">
        <color theme="0"/>
      </bottom>
      <diagonal/>
    </border>
    <border>
      <left style="thin">
        <color theme="0"/>
      </left>
      <right style="thin">
        <color rgb="FFFF6699"/>
      </right>
      <top style="thin">
        <color theme="0"/>
      </top>
      <bottom style="thin">
        <color theme="0"/>
      </bottom>
      <diagonal/>
    </border>
    <border>
      <left style="thin">
        <color rgb="FFFF6699"/>
      </left>
      <right style="thin">
        <color theme="0"/>
      </right>
      <top style="thin">
        <color theme="0"/>
      </top>
      <bottom style="thin">
        <color rgb="FFFF6699"/>
      </bottom>
      <diagonal/>
    </border>
    <border>
      <left style="thin">
        <color theme="0"/>
      </left>
      <right style="thin">
        <color theme="0"/>
      </right>
      <top style="thin">
        <color theme="0"/>
      </top>
      <bottom style="thin">
        <color rgb="FFFF6699"/>
      </bottom>
      <diagonal/>
    </border>
    <border>
      <left style="thin">
        <color theme="0"/>
      </left>
      <right style="thin">
        <color rgb="FFFF6699"/>
      </right>
      <top style="thin">
        <color theme="0"/>
      </top>
      <bottom style="thin">
        <color rgb="FFFF6699"/>
      </bottom>
      <diagonal/>
    </border>
    <border>
      <left/>
      <right/>
      <top style="thin">
        <color rgb="FFFF9933"/>
      </top>
      <bottom/>
      <diagonal/>
    </border>
    <border>
      <left style="thin">
        <color theme="0"/>
      </left>
      <right style="thin">
        <color theme="0"/>
      </right>
      <top style="thin">
        <color rgb="FFFF9933"/>
      </top>
      <bottom style="thin">
        <color theme="0"/>
      </bottom>
      <diagonal/>
    </border>
    <border>
      <left style="thin">
        <color rgb="FFFFAB53"/>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FFAB53"/>
      </right>
      <top style="thin">
        <color theme="0"/>
      </top>
      <bottom/>
      <diagonal/>
    </border>
    <border>
      <left style="thin">
        <color rgb="FF0099CC"/>
      </left>
      <right style="thin">
        <color theme="0"/>
      </right>
      <top style="thin">
        <color rgb="FF0099CC"/>
      </top>
      <bottom style="thin">
        <color theme="0"/>
      </bottom>
      <diagonal/>
    </border>
    <border>
      <left style="thin">
        <color theme="0"/>
      </left>
      <right style="thin">
        <color theme="0"/>
      </right>
      <top style="thin">
        <color rgb="FF0099CC"/>
      </top>
      <bottom style="thin">
        <color theme="0"/>
      </bottom>
      <diagonal/>
    </border>
    <border>
      <left style="thin">
        <color theme="0"/>
      </left>
      <right style="thin">
        <color rgb="FF0099CC"/>
      </right>
      <top style="thin">
        <color rgb="FF0099CC"/>
      </top>
      <bottom style="thin">
        <color theme="0"/>
      </bottom>
      <diagonal/>
    </border>
    <border>
      <left style="thin">
        <color rgb="FF0099CC"/>
      </left>
      <right style="thin">
        <color theme="0"/>
      </right>
      <top style="thin">
        <color theme="0"/>
      </top>
      <bottom style="thin">
        <color theme="0"/>
      </bottom>
      <diagonal/>
    </border>
    <border>
      <left style="thin">
        <color theme="0"/>
      </left>
      <right style="thin">
        <color rgb="FF0099CC"/>
      </right>
      <top style="thin">
        <color theme="0"/>
      </top>
      <bottom style="thin">
        <color theme="0"/>
      </bottom>
      <diagonal/>
    </border>
    <border>
      <left style="thin">
        <color rgb="FF0099CC"/>
      </left>
      <right style="thin">
        <color theme="0"/>
      </right>
      <top style="thin">
        <color theme="0"/>
      </top>
      <bottom style="thin">
        <color rgb="FF0099CC"/>
      </bottom>
      <diagonal/>
    </border>
    <border>
      <left style="thin">
        <color theme="0"/>
      </left>
      <right style="thin">
        <color theme="0"/>
      </right>
      <top style="thin">
        <color theme="0"/>
      </top>
      <bottom style="thin">
        <color rgb="FF0099CC"/>
      </bottom>
      <diagonal/>
    </border>
    <border>
      <left style="thin">
        <color theme="0"/>
      </left>
      <right style="thin">
        <color rgb="FF0099CC"/>
      </right>
      <top style="thin">
        <color theme="0"/>
      </top>
      <bottom style="thin">
        <color rgb="FF0099CC"/>
      </bottom>
      <diagonal/>
    </border>
    <border>
      <left style="thin">
        <color rgb="FF339966"/>
      </left>
      <right style="thin">
        <color theme="0"/>
      </right>
      <top style="thin">
        <color rgb="FF339966"/>
      </top>
      <bottom style="thin">
        <color theme="0"/>
      </bottom>
      <diagonal/>
    </border>
    <border>
      <left style="thin">
        <color theme="0"/>
      </left>
      <right style="thin">
        <color theme="0"/>
      </right>
      <top style="thin">
        <color rgb="FF339966"/>
      </top>
      <bottom style="thin">
        <color theme="0"/>
      </bottom>
      <diagonal/>
    </border>
    <border>
      <left style="thin">
        <color theme="0"/>
      </left>
      <right style="thin">
        <color rgb="FF339966"/>
      </right>
      <top style="thin">
        <color rgb="FF339966"/>
      </top>
      <bottom style="thin">
        <color theme="0"/>
      </bottom>
      <diagonal/>
    </border>
    <border>
      <left style="thin">
        <color rgb="FF339966"/>
      </left>
      <right style="thin">
        <color theme="0"/>
      </right>
      <top style="thin">
        <color theme="0"/>
      </top>
      <bottom style="thin">
        <color theme="0"/>
      </bottom>
      <diagonal/>
    </border>
    <border>
      <left style="thin">
        <color theme="0"/>
      </left>
      <right style="thin">
        <color rgb="FF339966"/>
      </right>
      <top style="thin">
        <color theme="0"/>
      </top>
      <bottom style="thin">
        <color theme="0"/>
      </bottom>
      <diagonal/>
    </border>
    <border>
      <left style="thin">
        <color rgb="FF339966"/>
      </left>
      <right style="thin">
        <color theme="0"/>
      </right>
      <top style="thin">
        <color theme="0"/>
      </top>
      <bottom style="thin">
        <color rgb="FF339966"/>
      </bottom>
      <diagonal/>
    </border>
    <border>
      <left style="thin">
        <color theme="0"/>
      </left>
      <right style="thin">
        <color theme="0"/>
      </right>
      <top style="thin">
        <color theme="0"/>
      </top>
      <bottom style="thin">
        <color rgb="FF339966"/>
      </bottom>
      <diagonal/>
    </border>
    <border>
      <left style="thin">
        <color theme="0"/>
      </left>
      <right style="thin">
        <color rgb="FF339966"/>
      </right>
      <top style="thin">
        <color theme="0"/>
      </top>
      <bottom style="thin">
        <color rgb="FF339966"/>
      </bottom>
      <diagonal/>
    </border>
    <border>
      <left style="thin">
        <color rgb="FF6666FF"/>
      </left>
      <right style="thin">
        <color theme="0"/>
      </right>
      <top style="thin">
        <color rgb="FF6666FF"/>
      </top>
      <bottom style="thin">
        <color theme="0"/>
      </bottom>
      <diagonal/>
    </border>
    <border>
      <left style="thin">
        <color theme="0"/>
      </left>
      <right style="thin">
        <color theme="0"/>
      </right>
      <top style="thin">
        <color rgb="FF6666FF"/>
      </top>
      <bottom style="thin">
        <color theme="0"/>
      </bottom>
      <diagonal/>
    </border>
    <border>
      <left style="thin">
        <color theme="0"/>
      </left>
      <right style="thin">
        <color rgb="FF6666FF"/>
      </right>
      <top style="thin">
        <color rgb="FF6666FF"/>
      </top>
      <bottom style="thin">
        <color theme="0"/>
      </bottom>
      <diagonal/>
    </border>
    <border>
      <left style="thin">
        <color rgb="FF6666FF"/>
      </left>
      <right style="thin">
        <color theme="0"/>
      </right>
      <top style="thin">
        <color theme="0"/>
      </top>
      <bottom style="thin">
        <color theme="0"/>
      </bottom>
      <diagonal/>
    </border>
    <border>
      <left style="thin">
        <color theme="0"/>
      </left>
      <right style="thin">
        <color rgb="FF6666FF"/>
      </right>
      <top style="thin">
        <color theme="0"/>
      </top>
      <bottom style="thin">
        <color theme="0"/>
      </bottom>
      <diagonal/>
    </border>
    <border>
      <left style="thin">
        <color rgb="FF6666FF"/>
      </left>
      <right style="thin">
        <color theme="0"/>
      </right>
      <top style="thin">
        <color theme="0"/>
      </top>
      <bottom style="thin">
        <color rgb="FF6666FF"/>
      </bottom>
      <diagonal/>
    </border>
    <border>
      <left style="thin">
        <color theme="0"/>
      </left>
      <right style="thin">
        <color theme="0"/>
      </right>
      <top style="thin">
        <color theme="0"/>
      </top>
      <bottom style="thin">
        <color rgb="FF6666FF"/>
      </bottom>
      <diagonal/>
    </border>
    <border>
      <left style="thin">
        <color theme="0"/>
      </left>
      <right style="thin">
        <color rgb="FF6666FF"/>
      </right>
      <top style="thin">
        <color theme="0"/>
      </top>
      <bottom style="thin">
        <color rgb="FF6666FF"/>
      </bottom>
      <diagonal/>
    </border>
    <border>
      <left style="thin">
        <color theme="4" tint="-0.24994659260841701"/>
      </left>
      <right/>
      <top style="thin">
        <color theme="4" tint="-0.24994659260841701"/>
      </top>
      <bottom style="dashed">
        <color theme="0" tint="-4.9989318521683403E-2"/>
      </bottom>
      <diagonal/>
    </border>
    <border>
      <left/>
      <right style="thin">
        <color theme="4" tint="-0.24994659260841701"/>
      </right>
      <top style="thin">
        <color theme="4" tint="-0.24994659260841701"/>
      </top>
      <bottom style="dashed">
        <color theme="0" tint="-4.9989318521683403E-2"/>
      </bottom>
      <diagonal/>
    </border>
    <border>
      <left style="thin">
        <color theme="4" tint="-0.24994659260841701"/>
      </left>
      <right/>
      <top style="dashed">
        <color theme="0" tint="-4.9989318521683403E-2"/>
      </top>
      <bottom style="dashed">
        <color theme="0" tint="-4.9989318521683403E-2"/>
      </bottom>
      <diagonal/>
    </border>
    <border>
      <left/>
      <right style="thin">
        <color theme="4" tint="-0.24994659260841701"/>
      </right>
      <top style="dashed">
        <color theme="0" tint="-4.9989318521683403E-2"/>
      </top>
      <bottom style="dashed">
        <color theme="0" tint="-4.9989318521683403E-2"/>
      </bottom>
      <diagonal/>
    </border>
    <border>
      <left style="thin">
        <color theme="4" tint="-0.24994659260841701"/>
      </left>
      <right/>
      <top style="dashed">
        <color theme="0" tint="-4.9989318521683403E-2"/>
      </top>
      <bottom style="thin">
        <color theme="4" tint="-0.24994659260841701"/>
      </bottom>
      <diagonal/>
    </border>
    <border>
      <left/>
      <right style="thin">
        <color theme="4" tint="-0.24994659260841701"/>
      </right>
      <top style="dashed">
        <color theme="0" tint="-4.9989318521683403E-2"/>
      </top>
      <bottom style="thin">
        <color theme="4" tint="-0.24994659260841701"/>
      </bottom>
      <diagonal/>
    </border>
    <border>
      <left style="thin">
        <color theme="4" tint="-0.24994659260841701"/>
      </left>
      <right style="thin">
        <color theme="0"/>
      </right>
      <top style="thin">
        <color theme="4" tint="-0.24994659260841701"/>
      </top>
      <bottom style="thin">
        <color theme="0"/>
      </bottom>
      <diagonal/>
    </border>
    <border>
      <left style="thin">
        <color theme="0"/>
      </left>
      <right style="thin">
        <color theme="0"/>
      </right>
      <top style="thin">
        <color theme="4" tint="-0.24994659260841701"/>
      </top>
      <bottom style="thin">
        <color theme="0"/>
      </bottom>
      <diagonal/>
    </border>
    <border>
      <left style="thin">
        <color theme="0"/>
      </left>
      <right style="thin">
        <color theme="4" tint="-0.24994659260841701"/>
      </right>
      <top style="thin">
        <color theme="4" tint="-0.24994659260841701"/>
      </top>
      <bottom style="thin">
        <color theme="0"/>
      </bottom>
      <diagonal/>
    </border>
    <border>
      <left style="thin">
        <color theme="4" tint="-0.24994659260841701"/>
      </left>
      <right style="thin">
        <color theme="0"/>
      </right>
      <top style="thin">
        <color theme="0"/>
      </top>
      <bottom style="thin">
        <color theme="0"/>
      </bottom>
      <diagonal/>
    </border>
    <border>
      <left style="thin">
        <color theme="0"/>
      </left>
      <right style="thin">
        <color theme="4" tint="-0.24994659260841701"/>
      </right>
      <top style="thin">
        <color theme="0"/>
      </top>
      <bottom style="thin">
        <color theme="0"/>
      </bottom>
      <diagonal/>
    </border>
    <border>
      <left style="thin">
        <color theme="4" tint="-0.24994659260841701"/>
      </left>
      <right style="thin">
        <color theme="0"/>
      </right>
      <top style="thin">
        <color theme="0"/>
      </top>
      <bottom style="thin">
        <color theme="4" tint="-0.24994659260841701"/>
      </bottom>
      <diagonal/>
    </border>
    <border>
      <left style="thin">
        <color theme="0"/>
      </left>
      <right style="thin">
        <color theme="0"/>
      </right>
      <top style="thin">
        <color theme="0"/>
      </top>
      <bottom style="thin">
        <color theme="4" tint="-0.24994659260841701"/>
      </bottom>
      <diagonal/>
    </border>
    <border>
      <left style="thin">
        <color theme="0"/>
      </left>
      <right style="thin">
        <color theme="4" tint="-0.24994659260841701"/>
      </right>
      <top style="thin">
        <color theme="0"/>
      </top>
      <bottom style="thin">
        <color theme="4" tint="-0.24994659260841701"/>
      </bottom>
      <diagonal/>
    </border>
    <border>
      <left/>
      <right/>
      <top/>
      <bottom style="thin">
        <color rgb="FFFFAB53"/>
      </bottom>
      <diagonal/>
    </border>
    <border>
      <left style="thin">
        <color rgb="FFDD8944"/>
      </left>
      <right/>
      <top style="thin">
        <color rgb="FFDD8944"/>
      </top>
      <bottom style="dashed">
        <color theme="0" tint="-4.9989318521683403E-2"/>
      </bottom>
      <diagonal/>
    </border>
    <border>
      <left/>
      <right/>
      <top style="thin">
        <color rgb="FFDD8944"/>
      </top>
      <bottom style="dashed">
        <color theme="0" tint="-4.9989318521683403E-2"/>
      </bottom>
      <diagonal/>
    </border>
    <border>
      <left/>
      <right style="thin">
        <color rgb="FFDD8944"/>
      </right>
      <top style="thin">
        <color rgb="FFDD8944"/>
      </top>
      <bottom style="dashed">
        <color theme="0" tint="-4.9989318521683403E-2"/>
      </bottom>
      <diagonal/>
    </border>
    <border>
      <left style="thin">
        <color rgb="FFDD8944"/>
      </left>
      <right/>
      <top style="dashed">
        <color theme="0" tint="-4.9989318521683403E-2"/>
      </top>
      <bottom style="dashed">
        <color theme="0" tint="-4.9989318521683403E-2"/>
      </bottom>
      <diagonal/>
    </border>
    <border>
      <left/>
      <right style="thin">
        <color rgb="FFDD8944"/>
      </right>
      <top style="dashed">
        <color theme="0" tint="-4.9989318521683403E-2"/>
      </top>
      <bottom style="dashed">
        <color theme="0" tint="-4.9989318521683403E-2"/>
      </bottom>
      <diagonal/>
    </border>
    <border>
      <left style="thin">
        <color rgb="FFDD8944"/>
      </left>
      <right/>
      <top style="dashed">
        <color theme="0" tint="-4.9989318521683403E-2"/>
      </top>
      <bottom style="thin">
        <color rgb="FFDD8944"/>
      </bottom>
      <diagonal/>
    </border>
    <border>
      <left/>
      <right/>
      <top style="dashed">
        <color theme="0" tint="-4.9989318521683403E-2"/>
      </top>
      <bottom style="thin">
        <color rgb="FFDD8944"/>
      </bottom>
      <diagonal/>
    </border>
    <border>
      <left/>
      <right style="thin">
        <color rgb="FFDD8944"/>
      </right>
      <top style="dashed">
        <color theme="0" tint="-4.9989318521683403E-2"/>
      </top>
      <bottom style="thin">
        <color rgb="FFDD894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right/>
      <top/>
      <bottom style="thin">
        <color theme="0" tint="-4.9989318521683403E-2"/>
      </bottom>
      <diagonal/>
    </border>
    <border>
      <left/>
      <right/>
      <top/>
      <bottom style="medium">
        <color theme="1" tint="0.499984740745262"/>
      </bottom>
      <diagonal/>
    </border>
    <border>
      <left/>
      <right/>
      <top style="medium">
        <color theme="1" tint="0.499984740745262"/>
      </top>
      <bottom style="medium">
        <color theme="1" tint="0.49998474074526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theme="0" tint="-4.9989318521683403E-2"/>
      </bottom>
      <diagonal/>
    </border>
    <border>
      <left/>
      <right style="thick">
        <color auto="1"/>
      </right>
      <top style="thin">
        <color theme="0" tint="-4.9989318521683403E-2"/>
      </top>
      <bottom style="thin">
        <color theme="0" tint="-4.9989318521683403E-2"/>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theme="8" tint="-0.24994659260841701"/>
      </top>
      <bottom style="thick">
        <color auto="1"/>
      </bottom>
      <diagonal/>
    </border>
  </borders>
  <cellStyleXfs count="3">
    <xf numFmtId="0" fontId="0" fillId="0" borderId="0"/>
    <xf numFmtId="0" fontId="11" fillId="0" borderId="0" applyNumberFormat="0" applyFill="0" applyBorder="0" applyAlignment="0" applyProtection="0"/>
    <xf numFmtId="43" fontId="63" fillId="0" borderId="0" applyFont="0" applyFill="0" applyBorder="0" applyAlignment="0" applyProtection="0"/>
  </cellStyleXfs>
  <cellXfs count="646">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Border="1" applyAlignment="1">
      <alignment horizontal="center"/>
    </xf>
    <xf numFmtId="0" fontId="1" fillId="0" borderId="0" xfId="0" applyFont="1" applyBorder="1"/>
    <xf numFmtId="0" fontId="6" fillId="0" borderId="0" xfId="0" applyFont="1" applyBorder="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xf>
    <xf numFmtId="0" fontId="1" fillId="0" borderId="0" xfId="0" applyFont="1" applyAlignment="1">
      <alignment horizontal="center" vertical="center"/>
    </xf>
    <xf numFmtId="0" fontId="10" fillId="0" borderId="0" xfId="0" applyFont="1" applyAlignment="1"/>
    <xf numFmtId="0" fontId="13" fillId="0" borderId="0" xfId="0" applyFont="1" applyAlignment="1">
      <alignment horizontal="center" vertical="center"/>
    </xf>
    <xf numFmtId="0" fontId="1" fillId="0" borderId="0" xfId="0" applyFont="1" applyAlignment="1" applyProtection="1">
      <alignment horizontal="left"/>
      <protection locked="0"/>
    </xf>
    <xf numFmtId="0" fontId="1" fillId="0" borderId="0" xfId="0" applyFont="1" applyAlignment="1" applyProtection="1">
      <alignment horizontal="left" vertical="center"/>
      <protection locked="0"/>
    </xf>
    <xf numFmtId="0" fontId="12" fillId="0" borderId="0" xfId="0" applyFont="1" applyFill="1" applyAlignment="1"/>
    <xf numFmtId="0" fontId="1" fillId="0" borderId="0" xfId="0" applyFont="1" applyAlignment="1">
      <alignment horizontal="center"/>
    </xf>
    <xf numFmtId="0" fontId="6" fillId="0" borderId="0" xfId="0" applyFont="1"/>
    <xf numFmtId="0" fontId="6" fillId="0" borderId="0" xfId="0" applyFont="1" applyAlignment="1">
      <alignment horizontal="center"/>
    </xf>
    <xf numFmtId="0" fontId="16" fillId="0" borderId="0" xfId="0" applyFont="1" applyFill="1" applyBorder="1" applyAlignment="1">
      <alignment horizontal="center" vertical="top"/>
    </xf>
    <xf numFmtId="0" fontId="6" fillId="0" borderId="0" xfId="0" applyFont="1" applyFill="1" applyBorder="1" applyAlignment="1">
      <alignment vertical="top"/>
    </xf>
    <xf numFmtId="0" fontId="16" fillId="0" borderId="0" xfId="0" applyFont="1" applyFill="1" applyBorder="1" applyAlignment="1">
      <alignment horizontal="left" vertical="top"/>
    </xf>
    <xf numFmtId="0" fontId="6" fillId="0" borderId="0" xfId="0" applyFont="1" applyFill="1" applyBorder="1" applyAlignment="1">
      <alignment horizontal="left" vertical="top"/>
    </xf>
    <xf numFmtId="0" fontId="18" fillId="0" borderId="0" xfId="0" applyFont="1" applyFill="1" applyBorder="1" applyAlignment="1">
      <alignment horizontal="left" vertical="top"/>
    </xf>
    <xf numFmtId="0" fontId="6" fillId="0" borderId="0" xfId="0" applyFont="1" applyFill="1" applyBorder="1"/>
    <xf numFmtId="0" fontId="6" fillId="0" borderId="0" xfId="0" applyFont="1" applyFill="1" applyBorder="1" applyAlignment="1">
      <alignment horizontal="center"/>
    </xf>
    <xf numFmtId="0" fontId="9" fillId="0" borderId="0" xfId="0" applyFont="1" applyFill="1" applyBorder="1" applyAlignment="1"/>
    <xf numFmtId="0" fontId="6" fillId="0" borderId="11" xfId="0" applyFont="1" applyFill="1" applyBorder="1" applyAlignment="1">
      <alignment vertical="top"/>
    </xf>
    <xf numFmtId="0" fontId="16" fillId="0" borderId="11" xfId="0" applyFont="1" applyFill="1" applyBorder="1" applyAlignment="1">
      <alignment horizontal="left" vertical="top" wrapText="1"/>
    </xf>
    <xf numFmtId="0" fontId="16" fillId="0" borderId="11" xfId="0" applyFont="1" applyFill="1" applyBorder="1" applyAlignment="1">
      <alignment horizontal="center" vertical="top"/>
    </xf>
    <xf numFmtId="0" fontId="16" fillId="0" borderId="12" xfId="0" applyFont="1" applyFill="1" applyBorder="1" applyAlignment="1">
      <alignment horizontal="center" vertical="top"/>
    </xf>
    <xf numFmtId="0" fontId="16" fillId="0" borderId="14" xfId="0" applyFont="1" applyFill="1" applyBorder="1" applyAlignment="1">
      <alignment horizontal="center" vertical="top"/>
    </xf>
    <xf numFmtId="0" fontId="6" fillId="0" borderId="17" xfId="0" applyFont="1" applyBorder="1"/>
    <xf numFmtId="0" fontId="6" fillId="0" borderId="8" xfId="0" applyFont="1" applyBorder="1"/>
    <xf numFmtId="0" fontId="6" fillId="0" borderId="8" xfId="0" applyFont="1" applyBorder="1" applyAlignment="1">
      <alignment horizontal="center"/>
    </xf>
    <xf numFmtId="0" fontId="6" fillId="0" borderId="7" xfId="0" applyFont="1" applyBorder="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0" xfId="0" applyFont="1" applyBorder="1"/>
    <xf numFmtId="0" fontId="6" fillId="0" borderId="14" xfId="0" applyFont="1" applyBorder="1"/>
    <xf numFmtId="0" fontId="6" fillId="0" borderId="15" xfId="0" applyFont="1" applyBorder="1"/>
    <xf numFmtId="0" fontId="6" fillId="0" borderId="9" xfId="0" applyFont="1" applyBorder="1"/>
    <xf numFmtId="0" fontId="6" fillId="0" borderId="16" xfId="0" applyFont="1" applyBorder="1"/>
    <xf numFmtId="0" fontId="6" fillId="0" borderId="18" xfId="0" applyFont="1" applyFill="1" applyBorder="1"/>
    <xf numFmtId="0" fontId="6" fillId="0" borderId="6" xfId="0" applyFont="1" applyFill="1" applyBorder="1"/>
    <xf numFmtId="0" fontId="19" fillId="0" borderId="0" xfId="0" applyFont="1" applyFill="1" applyBorder="1" applyAlignment="1">
      <alignment horizontal="right"/>
    </xf>
    <xf numFmtId="0" fontId="6" fillId="0" borderId="11" xfId="0" applyFont="1" applyFill="1" applyBorder="1" applyAlignment="1">
      <alignment horizontal="left" vertical="top"/>
    </xf>
    <xf numFmtId="0" fontId="16" fillId="0" borderId="10" xfId="0" applyFont="1" applyFill="1" applyBorder="1" applyAlignment="1">
      <alignment horizontal="center" vertical="top"/>
    </xf>
    <xf numFmtId="0" fontId="16" fillId="0" borderId="13" xfId="0" applyFont="1" applyFill="1" applyBorder="1" applyAlignment="1">
      <alignment horizontal="center" vertical="top"/>
    </xf>
    <xf numFmtId="0" fontId="6" fillId="0" borderId="20" xfId="0" applyFont="1" applyFill="1" applyBorder="1"/>
    <xf numFmtId="0" fontId="2" fillId="0" borderId="0" xfId="0" applyFont="1" applyAlignment="1">
      <alignment horizontal="center"/>
    </xf>
    <xf numFmtId="0" fontId="9" fillId="0" borderId="0" xfId="0" applyFont="1" applyAlignment="1">
      <alignment horizontal="center"/>
    </xf>
    <xf numFmtId="0" fontId="0" fillId="0" borderId="0" xfId="0" applyFill="1" applyAlignment="1">
      <alignment horizontal="center"/>
    </xf>
    <xf numFmtId="0" fontId="3" fillId="0" borderId="0" xfId="0" applyFont="1" applyFill="1" applyBorder="1" applyAlignment="1">
      <alignment horizontal="center" vertical="top" wrapText="1"/>
    </xf>
    <xf numFmtId="0" fontId="5" fillId="0" borderId="1" xfId="0" applyFont="1" applyFill="1" applyBorder="1" applyAlignment="1"/>
    <xf numFmtId="0" fontId="5" fillId="0" borderId="2" xfId="0" applyFont="1" applyFill="1" applyBorder="1" applyAlignment="1"/>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26" xfId="0" applyFont="1" applyFill="1" applyBorder="1" applyAlignment="1"/>
    <xf numFmtId="0" fontId="5" fillId="0" borderId="27" xfId="0" applyFont="1" applyFill="1" applyBorder="1" applyAlignment="1"/>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5" fillId="0" borderId="41" xfId="0" applyFont="1" applyFill="1" applyBorder="1" applyAlignment="1"/>
    <xf numFmtId="0" fontId="3" fillId="0" borderId="41" xfId="0" applyFont="1" applyFill="1" applyBorder="1" applyAlignment="1">
      <alignment horizontal="center" vertical="top" wrapText="1"/>
    </xf>
    <xf numFmtId="0" fontId="3" fillId="0" borderId="43" xfId="0" applyFont="1" applyFill="1" applyBorder="1" applyAlignment="1">
      <alignment horizontal="center" vertical="top" wrapText="1"/>
    </xf>
    <xf numFmtId="0" fontId="5" fillId="0" borderId="0" xfId="0" applyFont="1" applyFill="1" applyBorder="1" applyAlignment="1"/>
    <xf numFmtId="0" fontId="5" fillId="0" borderId="55" xfId="0" applyFont="1" applyFill="1" applyBorder="1" applyAlignment="1"/>
    <xf numFmtId="0" fontId="3" fillId="0" borderId="55" xfId="0" applyFont="1" applyFill="1" applyBorder="1" applyAlignment="1">
      <alignment horizontal="center" vertical="top" wrapText="1"/>
    </xf>
    <xf numFmtId="0" fontId="3" fillId="0" borderId="57" xfId="0" applyFont="1" applyFill="1" applyBorder="1" applyAlignment="1">
      <alignment horizontal="center" vertical="top" wrapText="1"/>
    </xf>
    <xf numFmtId="0" fontId="5" fillId="0" borderId="42" xfId="0" applyFont="1" applyFill="1" applyBorder="1" applyAlignment="1"/>
    <xf numFmtId="0" fontId="3" fillId="0" borderId="42"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58" xfId="0" applyFont="1" applyFill="1" applyBorder="1" applyAlignment="1">
      <alignment horizontal="center" vertical="top" wrapText="1"/>
    </xf>
    <xf numFmtId="0" fontId="5" fillId="0" borderId="69" xfId="0" applyFont="1" applyFill="1" applyBorder="1" applyAlignment="1"/>
    <xf numFmtId="0" fontId="5" fillId="0" borderId="70" xfId="0" applyFont="1" applyFill="1" applyBorder="1" applyAlignment="1"/>
    <xf numFmtId="0" fontId="3" fillId="0" borderId="6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71" xfId="0" applyFont="1" applyFill="1" applyBorder="1" applyAlignment="1">
      <alignment horizontal="center" vertical="top" wrapText="1"/>
    </xf>
    <xf numFmtId="0" fontId="3" fillId="0" borderId="72" xfId="0" applyFont="1" applyFill="1" applyBorder="1" applyAlignment="1">
      <alignment horizontal="center" vertical="top" wrapText="1"/>
    </xf>
    <xf numFmtId="0" fontId="5" fillId="0" borderId="83" xfId="0" applyFont="1" applyFill="1" applyBorder="1" applyAlignment="1"/>
    <xf numFmtId="0" fontId="5" fillId="0" borderId="84" xfId="0" applyFont="1" applyFill="1" applyBorder="1" applyAlignment="1"/>
    <xf numFmtId="0" fontId="3" fillId="0" borderId="83" xfId="0" applyFont="1" applyFill="1" applyBorder="1" applyAlignment="1">
      <alignment horizontal="center" vertical="top" wrapText="1"/>
    </xf>
    <xf numFmtId="0" fontId="3" fillId="0" borderId="84" xfId="0" applyFont="1" applyFill="1" applyBorder="1" applyAlignment="1">
      <alignment horizontal="center" vertical="top" wrapText="1"/>
    </xf>
    <xf numFmtId="0" fontId="3" fillId="0" borderId="85" xfId="0" applyFont="1" applyFill="1" applyBorder="1" applyAlignment="1">
      <alignment horizontal="center" vertical="top" wrapText="1"/>
    </xf>
    <xf numFmtId="0" fontId="3" fillId="0" borderId="86" xfId="0" applyFont="1" applyFill="1" applyBorder="1" applyAlignment="1">
      <alignment horizontal="center" vertical="top" wrapText="1"/>
    </xf>
    <xf numFmtId="0" fontId="15" fillId="0" borderId="0" xfId="0" applyFont="1" applyFill="1" applyAlignment="1">
      <alignment vertical="top"/>
    </xf>
    <xf numFmtId="0" fontId="6"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xf>
    <xf numFmtId="0" fontId="6" fillId="0" borderId="32" xfId="0" applyFont="1" applyBorder="1"/>
    <xf numFmtId="0" fontId="6" fillId="0" borderId="30" xfId="0" applyFont="1" applyBorder="1"/>
    <xf numFmtId="0" fontId="22" fillId="0" borderId="31" xfId="1" applyFont="1" applyFill="1" applyBorder="1" applyAlignment="1">
      <alignment horizontal="center" vertical="center"/>
    </xf>
    <xf numFmtId="0" fontId="23" fillId="0" borderId="31" xfId="1" applyFont="1" applyBorder="1" applyAlignment="1">
      <alignment horizontal="center" vertical="center"/>
    </xf>
    <xf numFmtId="0" fontId="24" fillId="0" borderId="31" xfId="1" applyFont="1" applyBorder="1" applyAlignment="1">
      <alignment horizontal="center" vertical="center"/>
    </xf>
    <xf numFmtId="0" fontId="25" fillId="0" borderId="31" xfId="1"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xf numFmtId="0" fontId="6" fillId="0" borderId="33" xfId="0" applyFont="1" applyBorder="1"/>
    <xf numFmtId="0" fontId="22" fillId="0" borderId="34" xfId="1" applyFont="1" applyFill="1" applyBorder="1" applyAlignment="1">
      <alignment horizontal="center" vertical="center"/>
    </xf>
    <xf numFmtId="0" fontId="23" fillId="0" borderId="34" xfId="1" applyFont="1" applyBorder="1" applyAlignment="1">
      <alignment horizontal="center" vertical="center"/>
    </xf>
    <xf numFmtId="0" fontId="24" fillId="0" borderId="34" xfId="1" applyFont="1" applyBorder="1" applyAlignment="1">
      <alignment horizontal="center" vertical="center"/>
    </xf>
    <xf numFmtId="0" fontId="25" fillId="0" borderId="34" xfId="1"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xf numFmtId="0" fontId="22" fillId="0" borderId="37" xfId="1" applyFont="1" applyFill="1" applyBorder="1" applyAlignment="1">
      <alignment horizontal="center" vertical="center"/>
    </xf>
    <xf numFmtId="0" fontId="23" fillId="0" borderId="37" xfId="1" applyFont="1" applyBorder="1" applyAlignment="1">
      <alignment horizontal="center" vertical="center"/>
    </xf>
    <xf numFmtId="0" fontId="24" fillId="0" borderId="37" xfId="1" applyFont="1" applyBorder="1" applyAlignment="1">
      <alignment horizontal="center" vertical="center"/>
    </xf>
    <xf numFmtId="0" fontId="25" fillId="0" borderId="37" xfId="1" applyFont="1" applyBorder="1" applyAlignment="1">
      <alignment horizontal="center" vertical="center"/>
    </xf>
    <xf numFmtId="0" fontId="6" fillId="0" borderId="38" xfId="0" applyFont="1" applyBorder="1"/>
    <xf numFmtId="0" fontId="6" fillId="0" borderId="45" xfId="0" applyFont="1" applyBorder="1" applyAlignment="1">
      <alignment horizontal="center" vertical="center"/>
    </xf>
    <xf numFmtId="0" fontId="6" fillId="0" borderId="47" xfId="0" applyFont="1" applyBorder="1"/>
    <xf numFmtId="0" fontId="6" fillId="0" borderId="45" xfId="0" applyFont="1" applyBorder="1"/>
    <xf numFmtId="0" fontId="22" fillId="0" borderId="46" xfId="1" applyFont="1" applyFill="1" applyBorder="1" applyAlignment="1">
      <alignment horizontal="center" vertical="center"/>
    </xf>
    <xf numFmtId="0" fontId="23" fillId="0" borderId="46" xfId="1" applyFont="1" applyBorder="1" applyAlignment="1">
      <alignment horizontal="center" vertical="center"/>
    </xf>
    <xf numFmtId="0" fontId="24" fillId="0" borderId="46" xfId="1" applyFont="1" applyBorder="1" applyAlignment="1">
      <alignment horizontal="center" vertical="center"/>
    </xf>
    <xf numFmtId="0" fontId="25" fillId="0" borderId="46" xfId="1"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xf numFmtId="0" fontId="6" fillId="0" borderId="48" xfId="0" applyFont="1" applyBorder="1"/>
    <xf numFmtId="0" fontId="6" fillId="0" borderId="50" xfId="0" applyFont="1" applyBorder="1" applyAlignment="1">
      <alignment horizontal="center" vertical="center"/>
    </xf>
    <xf numFmtId="0" fontId="6" fillId="0" borderId="50" xfId="0" applyFont="1" applyBorder="1"/>
    <xf numFmtId="0" fontId="22" fillId="0" borderId="51" xfId="1" applyFont="1" applyFill="1" applyBorder="1" applyAlignment="1">
      <alignment horizontal="center" vertical="center"/>
    </xf>
    <xf numFmtId="0" fontId="23" fillId="0" borderId="51" xfId="1" applyFont="1" applyBorder="1" applyAlignment="1">
      <alignment horizontal="center" vertical="center"/>
    </xf>
    <xf numFmtId="0" fontId="24" fillId="0" borderId="51" xfId="1" applyFont="1" applyBorder="1" applyAlignment="1">
      <alignment horizontal="center" vertical="center"/>
    </xf>
    <xf numFmtId="0" fontId="25" fillId="0" borderId="51" xfId="1" applyFont="1" applyBorder="1" applyAlignment="1">
      <alignment horizontal="center" vertical="center"/>
    </xf>
    <xf numFmtId="0" fontId="6" fillId="0" borderId="52" xfId="0" applyFont="1" applyBorder="1"/>
    <xf numFmtId="0" fontId="6" fillId="0" borderId="59" xfId="0" applyFont="1" applyBorder="1" applyAlignment="1">
      <alignment horizontal="center" vertical="center"/>
    </xf>
    <xf numFmtId="0" fontId="6" fillId="0" borderId="61" xfId="0" applyFont="1" applyBorder="1"/>
    <xf numFmtId="0" fontId="6" fillId="0" borderId="59" xfId="0" applyFont="1" applyBorder="1"/>
    <xf numFmtId="0" fontId="22" fillId="0" borderId="60" xfId="1" applyFont="1" applyFill="1" applyBorder="1" applyAlignment="1">
      <alignment horizontal="center" vertical="center"/>
    </xf>
    <xf numFmtId="0" fontId="23" fillId="0" borderId="60" xfId="1" applyFont="1" applyBorder="1" applyAlignment="1">
      <alignment horizontal="center" vertical="center"/>
    </xf>
    <xf numFmtId="0" fontId="24" fillId="0" borderId="60" xfId="1" applyFont="1" applyBorder="1" applyAlignment="1">
      <alignment horizontal="center" vertical="center"/>
    </xf>
    <xf numFmtId="0" fontId="25" fillId="0" borderId="60" xfId="1"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xf numFmtId="0" fontId="6" fillId="0" borderId="62" xfId="0" applyFont="1" applyBorder="1"/>
    <xf numFmtId="0" fontId="6" fillId="0" borderId="64" xfId="0" applyFont="1" applyBorder="1" applyAlignment="1">
      <alignment horizontal="center" vertical="center"/>
    </xf>
    <xf numFmtId="0" fontId="6" fillId="0" borderId="64" xfId="0" applyFont="1" applyBorder="1"/>
    <xf numFmtId="0" fontId="22" fillId="0" borderId="65" xfId="1" applyFont="1" applyFill="1" applyBorder="1" applyAlignment="1">
      <alignment horizontal="center" vertical="center"/>
    </xf>
    <xf numFmtId="0" fontId="23" fillId="0" borderId="65" xfId="1" applyFont="1" applyBorder="1" applyAlignment="1">
      <alignment horizontal="center" vertical="center"/>
    </xf>
    <xf numFmtId="0" fontId="24" fillId="0" borderId="65" xfId="1" applyFont="1" applyBorder="1" applyAlignment="1">
      <alignment horizontal="center" vertical="center"/>
    </xf>
    <xf numFmtId="0" fontId="25" fillId="0" borderId="65" xfId="1" applyFont="1" applyBorder="1" applyAlignment="1">
      <alignment horizontal="center" vertical="center"/>
    </xf>
    <xf numFmtId="0" fontId="6" fillId="0" borderId="66" xfId="0" applyFont="1" applyBorder="1"/>
    <xf numFmtId="0" fontId="6" fillId="0" borderId="73" xfId="0" applyFont="1" applyBorder="1" applyAlignment="1">
      <alignment horizontal="center" vertical="center"/>
    </xf>
    <xf numFmtId="0" fontId="6" fillId="0" borderId="73" xfId="0" applyFont="1" applyBorder="1"/>
    <xf numFmtId="0" fontId="22" fillId="0" borderId="74" xfId="1" applyFont="1" applyFill="1" applyBorder="1" applyAlignment="1">
      <alignment horizontal="center" vertical="center"/>
    </xf>
    <xf numFmtId="0" fontId="23" fillId="0" borderId="74" xfId="1" applyFont="1" applyBorder="1" applyAlignment="1">
      <alignment horizontal="center" vertical="center"/>
    </xf>
    <xf numFmtId="0" fontId="24" fillId="0" borderId="74" xfId="1" applyFont="1" applyBorder="1" applyAlignment="1">
      <alignment horizontal="center" vertical="center"/>
    </xf>
    <xf numFmtId="0" fontId="25" fillId="0" borderId="74" xfId="1" applyFont="1" applyBorder="1" applyAlignment="1">
      <alignment horizontal="center" vertical="center"/>
    </xf>
    <xf numFmtId="0" fontId="6" fillId="0" borderId="75" xfId="0" applyFont="1" applyBorder="1"/>
    <xf numFmtId="0" fontId="6" fillId="0" borderId="76" xfId="0" applyFont="1" applyBorder="1" applyAlignment="1">
      <alignment horizontal="center" vertical="center"/>
    </xf>
    <xf numFmtId="0" fontId="6" fillId="0" borderId="76" xfId="0" applyFont="1" applyBorder="1"/>
    <xf numFmtId="0" fontId="6" fillId="0" borderId="77" xfId="0" applyFont="1" applyBorder="1"/>
    <xf numFmtId="0" fontId="6" fillId="0" borderId="78" xfId="0" applyFont="1" applyBorder="1" applyAlignment="1">
      <alignment horizontal="center" vertical="center"/>
    </xf>
    <xf numFmtId="0" fontId="6" fillId="0" borderId="78" xfId="0" applyFont="1" applyBorder="1"/>
    <xf numFmtId="0" fontId="22" fillId="0" borderId="79" xfId="1" applyFont="1" applyFill="1" applyBorder="1" applyAlignment="1">
      <alignment horizontal="center" vertical="center"/>
    </xf>
    <xf numFmtId="0" fontId="23" fillId="0" borderId="79" xfId="1" applyFont="1" applyBorder="1" applyAlignment="1">
      <alignment horizontal="center" vertical="center"/>
    </xf>
    <xf numFmtId="0" fontId="24" fillId="0" borderId="79" xfId="1" applyFont="1" applyBorder="1" applyAlignment="1">
      <alignment horizontal="center" vertical="center"/>
    </xf>
    <xf numFmtId="0" fontId="25" fillId="0" borderId="79" xfId="1" applyFont="1" applyBorder="1" applyAlignment="1">
      <alignment horizontal="center" vertical="center"/>
    </xf>
    <xf numFmtId="0" fontId="6" fillId="0" borderId="80" xfId="0" applyFont="1" applyBorder="1"/>
    <xf numFmtId="0" fontId="6" fillId="0" borderId="87" xfId="0" applyFont="1" applyBorder="1" applyAlignment="1">
      <alignment horizontal="center" vertical="center"/>
    </xf>
    <xf numFmtId="0" fontId="6" fillId="0" borderId="89" xfId="0" applyFont="1" applyBorder="1"/>
    <xf numFmtId="0" fontId="6" fillId="0" borderId="87" xfId="0" applyFont="1" applyBorder="1"/>
    <xf numFmtId="0" fontId="22" fillId="0" borderId="88" xfId="1" applyFont="1" applyFill="1" applyBorder="1" applyAlignment="1">
      <alignment horizontal="center" vertical="center"/>
    </xf>
    <xf numFmtId="0" fontId="23" fillId="0" borderId="88" xfId="1" applyFont="1" applyBorder="1" applyAlignment="1">
      <alignment horizontal="center" vertical="center"/>
    </xf>
    <xf numFmtId="0" fontId="24" fillId="0" borderId="88" xfId="1" applyFont="1" applyBorder="1" applyAlignment="1">
      <alignment horizontal="center" vertical="center"/>
    </xf>
    <xf numFmtId="0" fontId="25" fillId="0" borderId="88" xfId="1"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xf numFmtId="0" fontId="6" fillId="0" borderId="90" xfId="0" applyFont="1" applyBorder="1"/>
    <xf numFmtId="0" fontId="6" fillId="0" borderId="92" xfId="0" applyFont="1" applyBorder="1" applyAlignment="1">
      <alignment horizontal="center" vertical="center"/>
    </xf>
    <xf numFmtId="0" fontId="6" fillId="0" borderId="92" xfId="0" applyFont="1" applyBorder="1"/>
    <xf numFmtId="0" fontId="22" fillId="0" borderId="93" xfId="1" applyFont="1" applyFill="1" applyBorder="1" applyAlignment="1">
      <alignment horizontal="center" vertical="center"/>
    </xf>
    <xf numFmtId="0" fontId="23" fillId="0" borderId="93" xfId="1" applyFont="1" applyBorder="1" applyAlignment="1">
      <alignment horizontal="center" vertical="center"/>
    </xf>
    <xf numFmtId="0" fontId="24" fillId="0" borderId="93" xfId="1" applyFont="1" applyBorder="1" applyAlignment="1">
      <alignment horizontal="center" vertical="center"/>
    </xf>
    <xf numFmtId="0" fontId="25" fillId="0" borderId="93" xfId="1" applyFont="1" applyBorder="1" applyAlignment="1">
      <alignment horizontal="center" vertical="center"/>
    </xf>
    <xf numFmtId="0" fontId="6" fillId="0" borderId="94" xfId="0" applyFont="1" applyBorder="1"/>
    <xf numFmtId="0" fontId="2" fillId="0" borderId="0" xfId="0" applyFont="1" applyAlignment="1">
      <alignment vertical="center"/>
    </xf>
    <xf numFmtId="0" fontId="6" fillId="0" borderId="31" xfId="0" applyFont="1" applyBorder="1" applyAlignment="1">
      <alignment vertical="center"/>
    </xf>
    <xf numFmtId="0" fontId="6" fillId="0" borderId="34" xfId="0" applyFont="1" applyBorder="1" applyAlignment="1">
      <alignment vertical="center"/>
    </xf>
    <xf numFmtId="0" fontId="6" fillId="0" borderId="37" xfId="0" applyFont="1" applyBorder="1" applyAlignment="1">
      <alignment vertical="center"/>
    </xf>
    <xf numFmtId="0" fontId="6" fillId="0" borderId="46" xfId="0" applyFont="1" applyBorder="1" applyAlignment="1">
      <alignment vertical="center"/>
    </xf>
    <xf numFmtId="0" fontId="6" fillId="0" borderId="51" xfId="0" applyFont="1" applyBorder="1" applyAlignment="1">
      <alignment vertical="center"/>
    </xf>
    <xf numFmtId="0" fontId="6" fillId="0" borderId="60" xfId="0" applyFont="1" applyBorder="1" applyAlignment="1">
      <alignment vertical="center"/>
    </xf>
    <xf numFmtId="0" fontId="6" fillId="0" borderId="65" xfId="0" applyFont="1" applyBorder="1" applyAlignment="1">
      <alignment vertical="center"/>
    </xf>
    <xf numFmtId="0" fontId="6" fillId="0" borderId="74" xfId="0" applyFont="1" applyBorder="1" applyAlignment="1">
      <alignment vertical="center"/>
    </xf>
    <xf numFmtId="0" fontId="6" fillId="0" borderId="79" xfId="0" applyFont="1" applyBorder="1" applyAlignment="1">
      <alignment vertical="center"/>
    </xf>
    <xf numFmtId="0" fontId="6" fillId="0" borderId="88" xfId="0" applyFont="1" applyBorder="1" applyAlignment="1">
      <alignment vertical="center"/>
    </xf>
    <xf numFmtId="0" fontId="6" fillId="0" borderId="93" xfId="0" applyFont="1" applyBorder="1" applyAlignment="1">
      <alignment vertical="center"/>
    </xf>
    <xf numFmtId="0" fontId="21" fillId="0" borderId="1" xfId="0" applyFont="1" applyFill="1" applyBorder="1" applyAlignment="1">
      <alignment vertical="top" wrapText="1"/>
    </xf>
    <xf numFmtId="0" fontId="21" fillId="0" borderId="2" xfId="0" applyFont="1" applyFill="1" applyBorder="1" applyAlignment="1">
      <alignment vertical="top" wrapText="1"/>
    </xf>
    <xf numFmtId="0" fontId="34" fillId="0" borderId="26" xfId="0" applyFont="1" applyFill="1" applyBorder="1" applyAlignment="1">
      <alignment vertical="top" wrapText="1"/>
    </xf>
    <xf numFmtId="0" fontId="34" fillId="0" borderId="27" xfId="0" applyFont="1" applyFill="1" applyBorder="1" applyAlignment="1">
      <alignment vertical="top" wrapText="1"/>
    </xf>
    <xf numFmtId="0" fontId="36" fillId="0" borderId="55" xfId="0" applyFont="1" applyFill="1" applyBorder="1" applyAlignment="1">
      <alignment vertical="top" wrapText="1"/>
    </xf>
    <xf numFmtId="0" fontId="36" fillId="0" borderId="0" xfId="0" applyFont="1" applyFill="1" applyBorder="1" applyAlignment="1">
      <alignment vertical="top" wrapText="1"/>
    </xf>
    <xf numFmtId="0" fontId="37" fillId="0" borderId="69" xfId="0" applyFont="1" applyFill="1" applyBorder="1" applyAlignment="1">
      <alignment vertical="top" wrapText="1"/>
    </xf>
    <xf numFmtId="0" fontId="37" fillId="0" borderId="70" xfId="0" applyFont="1" applyFill="1" applyBorder="1" applyAlignment="1">
      <alignment vertical="top" wrapText="1"/>
    </xf>
    <xf numFmtId="0" fontId="38" fillId="0" borderId="83" xfId="0" applyFont="1" applyFill="1" applyBorder="1" applyAlignment="1">
      <alignment vertical="top" wrapText="1"/>
    </xf>
    <xf numFmtId="0" fontId="38" fillId="0" borderId="84" xfId="0" applyFont="1" applyFill="1" applyBorder="1" applyAlignment="1">
      <alignment vertical="top" wrapText="1"/>
    </xf>
    <xf numFmtId="0" fontId="17" fillId="0" borderId="0" xfId="0" applyFont="1" applyAlignment="1">
      <alignment horizontal="left" vertical="center"/>
    </xf>
    <xf numFmtId="0" fontId="39" fillId="0" borderId="0" xfId="0" applyFont="1" applyAlignment="1">
      <alignment horizontal="left"/>
    </xf>
    <xf numFmtId="0" fontId="15" fillId="0" borderId="0" xfId="0" applyFont="1" applyFill="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2" fillId="0" borderId="32" xfId="0" applyFont="1" applyBorder="1" applyAlignment="1">
      <alignment horizontal="center" vertical="center"/>
    </xf>
    <xf numFmtId="0" fontId="42" fillId="0" borderId="35" xfId="0" applyFont="1" applyBorder="1" applyAlignment="1">
      <alignment horizontal="center" vertical="center"/>
    </xf>
    <xf numFmtId="0" fontId="43" fillId="0" borderId="35" xfId="1" applyFont="1" applyFill="1" applyBorder="1" applyAlignment="1">
      <alignment horizontal="center" vertical="center"/>
    </xf>
    <xf numFmtId="0" fontId="43" fillId="0" borderId="38" xfId="1" applyFont="1" applyFill="1" applyBorder="1" applyAlignment="1">
      <alignment horizontal="center" vertical="center"/>
    </xf>
    <xf numFmtId="0" fontId="42" fillId="0" borderId="47" xfId="0" applyFont="1" applyBorder="1" applyAlignment="1">
      <alignment horizontal="center" vertical="center"/>
    </xf>
    <xf numFmtId="0" fontId="42" fillId="0" borderId="49" xfId="0" applyFont="1" applyBorder="1" applyAlignment="1">
      <alignment horizontal="center" vertical="center"/>
    </xf>
    <xf numFmtId="0" fontId="43" fillId="0" borderId="49" xfId="1" applyFont="1" applyFill="1" applyBorder="1" applyAlignment="1">
      <alignment horizontal="center" vertical="center"/>
    </xf>
    <xf numFmtId="0" fontId="43" fillId="0" borderId="52" xfId="1" applyFont="1" applyFill="1" applyBorder="1" applyAlignment="1">
      <alignment horizontal="center" vertical="center"/>
    </xf>
    <xf numFmtId="0" fontId="42" fillId="0" borderId="61" xfId="0" applyFont="1" applyBorder="1" applyAlignment="1">
      <alignment horizontal="center" vertical="center"/>
    </xf>
    <xf numFmtId="0" fontId="42" fillId="0" borderId="63" xfId="0" applyFont="1" applyBorder="1" applyAlignment="1">
      <alignment horizontal="center" vertical="center"/>
    </xf>
    <xf numFmtId="0" fontId="43" fillId="0" borderId="63" xfId="1" applyFont="1" applyFill="1" applyBorder="1" applyAlignment="1">
      <alignment horizontal="center" vertical="center"/>
    </xf>
    <xf numFmtId="0" fontId="43" fillId="0" borderId="66" xfId="1" applyFont="1" applyFill="1" applyBorder="1" applyAlignment="1">
      <alignment horizontal="center" vertical="center"/>
    </xf>
    <xf numFmtId="0" fontId="42" fillId="0" borderId="74" xfId="0" applyFont="1" applyBorder="1" applyAlignment="1">
      <alignment horizontal="center" vertical="center"/>
    </xf>
    <xf numFmtId="0" fontId="42" fillId="0" borderId="34" xfId="0" applyFont="1" applyBorder="1" applyAlignment="1">
      <alignment horizontal="center" vertical="center"/>
    </xf>
    <xf numFmtId="0" fontId="43" fillId="0" borderId="34" xfId="1" applyFont="1" applyFill="1" applyBorder="1" applyAlignment="1">
      <alignment horizontal="center" vertical="center"/>
    </xf>
    <xf numFmtId="0" fontId="43" fillId="0" borderId="79" xfId="1" applyFont="1" applyFill="1" applyBorder="1" applyAlignment="1">
      <alignment horizontal="center" vertical="center"/>
    </xf>
    <xf numFmtId="0" fontId="42" fillId="0" borderId="89" xfId="0" applyFont="1" applyBorder="1" applyAlignment="1">
      <alignment horizontal="center" vertical="center"/>
    </xf>
    <xf numFmtId="0" fontId="42" fillId="0" borderId="91" xfId="0" applyFont="1" applyBorder="1" applyAlignment="1">
      <alignment horizontal="center" vertical="center"/>
    </xf>
    <xf numFmtId="0" fontId="43" fillId="0" borderId="91" xfId="1" applyFont="1" applyFill="1" applyBorder="1" applyAlignment="1">
      <alignment horizontal="center" vertical="center"/>
    </xf>
    <xf numFmtId="0" fontId="43" fillId="0" borderId="94" xfId="1" applyFont="1" applyFill="1" applyBorder="1" applyAlignment="1">
      <alignment horizontal="center" vertical="center"/>
    </xf>
    <xf numFmtId="0" fontId="6" fillId="0" borderId="100" xfId="0" applyFont="1" applyBorder="1" applyAlignment="1">
      <alignment horizontal="center" vertical="top"/>
    </xf>
    <xf numFmtId="0" fontId="42" fillId="0" borderId="100" xfId="0" applyFont="1" applyBorder="1" applyAlignment="1">
      <alignment horizontal="center" vertical="top"/>
    </xf>
    <xf numFmtId="0" fontId="6" fillId="0" borderId="100" xfId="0" applyFont="1" applyBorder="1" applyAlignment="1">
      <alignment vertical="top"/>
    </xf>
    <xf numFmtId="0" fontId="26" fillId="0" borderId="100" xfId="0" applyFont="1" applyBorder="1" applyAlignment="1">
      <alignment horizontal="center" vertical="top"/>
    </xf>
    <xf numFmtId="0" fontId="20" fillId="0" borderId="100" xfId="0" applyFont="1" applyBorder="1" applyAlignment="1">
      <alignment horizontal="center" vertical="top"/>
    </xf>
    <xf numFmtId="0" fontId="27" fillId="0" borderId="100" xfId="0" applyFont="1" applyBorder="1" applyAlignment="1">
      <alignment horizontal="center" vertical="top"/>
    </xf>
    <xf numFmtId="0" fontId="28" fillId="0" borderId="100" xfId="0" applyFont="1" applyBorder="1" applyAlignment="1">
      <alignment horizontal="center" vertical="top"/>
    </xf>
    <xf numFmtId="0" fontId="6" fillId="0" borderId="101" xfId="0" applyFont="1" applyBorder="1" applyAlignment="1">
      <alignment horizontal="center" vertical="top"/>
    </xf>
    <xf numFmtId="0" fontId="42" fillId="0" borderId="101" xfId="0" applyFont="1" applyBorder="1" applyAlignment="1">
      <alignment horizontal="center" vertical="top"/>
    </xf>
    <xf numFmtId="0" fontId="6" fillId="0" borderId="101" xfId="0" applyFont="1" applyBorder="1" applyAlignment="1">
      <alignment vertical="top"/>
    </xf>
    <xf numFmtId="0" fontId="26" fillId="0" borderId="101" xfId="0" applyFont="1" applyBorder="1" applyAlignment="1">
      <alignment horizontal="center" vertical="top"/>
    </xf>
    <xf numFmtId="0" fontId="20" fillId="0" borderId="101" xfId="0" applyFont="1" applyBorder="1" applyAlignment="1">
      <alignment horizontal="center" vertical="top"/>
    </xf>
    <xf numFmtId="0" fontId="27" fillId="0" borderId="101" xfId="0" applyFont="1" applyBorder="1" applyAlignment="1">
      <alignment horizontal="center" vertical="top"/>
    </xf>
    <xf numFmtId="0" fontId="28" fillId="0" borderId="101" xfId="0" applyFont="1" applyBorder="1" applyAlignment="1">
      <alignment horizontal="center" vertical="top"/>
    </xf>
    <xf numFmtId="0" fontId="6" fillId="0" borderId="98" xfId="0" applyFont="1" applyBorder="1" applyAlignment="1">
      <alignment horizontal="center" vertical="top" wrapText="1"/>
    </xf>
    <xf numFmtId="0" fontId="42" fillId="0" borderId="98" xfId="0" applyFont="1" applyBorder="1" applyAlignment="1">
      <alignment horizontal="center" vertical="top"/>
    </xf>
    <xf numFmtId="0" fontId="6" fillId="0" borderId="98" xfId="0" applyFont="1" applyBorder="1" applyAlignment="1">
      <alignment vertical="top"/>
    </xf>
    <xf numFmtId="0" fontId="26" fillId="0" borderId="98" xfId="0" applyFont="1" applyBorder="1" applyAlignment="1">
      <alignment horizontal="center" vertical="top"/>
    </xf>
    <xf numFmtId="0" fontId="20" fillId="0" borderId="98" xfId="0" applyFont="1" applyBorder="1" applyAlignment="1">
      <alignment horizontal="center" vertical="top"/>
    </xf>
    <xf numFmtId="0" fontId="27" fillId="0" borderId="98" xfId="0" applyFont="1" applyBorder="1" applyAlignment="1">
      <alignment horizontal="center" vertical="top"/>
    </xf>
    <xf numFmtId="0" fontId="28" fillId="0" borderId="98" xfId="0" applyFont="1" applyBorder="1" applyAlignment="1">
      <alignment horizontal="center" vertical="top"/>
    </xf>
    <xf numFmtId="0" fontId="6" fillId="0" borderId="99" xfId="0" applyFont="1" applyBorder="1" applyAlignment="1">
      <alignment horizontal="center" vertical="top"/>
    </xf>
    <xf numFmtId="0" fontId="42" fillId="0" borderId="99" xfId="0" applyFont="1" applyBorder="1" applyAlignment="1">
      <alignment horizontal="center" vertical="top"/>
    </xf>
    <xf numFmtId="0" fontId="6" fillId="0" borderId="99" xfId="0" applyFont="1" applyBorder="1" applyAlignment="1">
      <alignment vertical="top"/>
    </xf>
    <xf numFmtId="0" fontId="26" fillId="0" borderId="99" xfId="0" applyFont="1" applyBorder="1" applyAlignment="1">
      <alignment horizontal="center" vertical="top"/>
    </xf>
    <xf numFmtId="0" fontId="20" fillId="0" borderId="99" xfId="0" applyFont="1" applyBorder="1" applyAlignment="1">
      <alignment horizontal="center" vertical="top"/>
    </xf>
    <xf numFmtId="0" fontId="27" fillId="0" borderId="99" xfId="0" applyFont="1" applyBorder="1" applyAlignment="1">
      <alignment horizontal="center" vertical="top"/>
    </xf>
    <xf numFmtId="0" fontId="28" fillId="0" borderId="99" xfId="0" applyFont="1" applyBorder="1" applyAlignment="1">
      <alignment horizontal="center" vertical="top"/>
    </xf>
    <xf numFmtId="0" fontId="6" fillId="0" borderId="102" xfId="0" applyFont="1" applyBorder="1" applyAlignment="1">
      <alignment horizontal="center" vertical="top"/>
    </xf>
    <xf numFmtId="0" fontId="42" fillId="0" borderId="102" xfId="0" applyFont="1" applyBorder="1" applyAlignment="1">
      <alignment horizontal="center" vertical="top"/>
    </xf>
    <xf numFmtId="0" fontId="6" fillId="0" borderId="102" xfId="0" applyFont="1" applyBorder="1" applyAlignment="1">
      <alignment vertical="top"/>
    </xf>
    <xf numFmtId="0" fontId="26" fillId="0" borderId="102" xfId="0" applyFont="1" applyBorder="1" applyAlignment="1">
      <alignment horizontal="center" vertical="top"/>
    </xf>
    <xf numFmtId="0" fontId="20" fillId="0" borderId="102" xfId="0" applyFont="1" applyBorder="1" applyAlignment="1">
      <alignment horizontal="center" vertical="top"/>
    </xf>
    <xf numFmtId="0" fontId="27" fillId="0" borderId="102" xfId="0" applyFont="1" applyBorder="1" applyAlignment="1">
      <alignment horizontal="center" vertical="top"/>
    </xf>
    <xf numFmtId="0" fontId="28" fillId="0" borderId="102" xfId="0" applyFont="1" applyBorder="1" applyAlignment="1">
      <alignment horizontal="center" vertical="top"/>
    </xf>
    <xf numFmtId="0" fontId="6" fillId="0" borderId="0" xfId="0" applyFont="1" applyAlignment="1" applyProtection="1">
      <alignment horizontal="left" vertical="top"/>
      <protection locked="0"/>
    </xf>
    <xf numFmtId="0" fontId="6" fillId="0" borderId="0" xfId="0" applyFont="1" applyAlignment="1">
      <alignment vertical="top"/>
    </xf>
    <xf numFmtId="0" fontId="6" fillId="0" borderId="103" xfId="0" applyFont="1" applyBorder="1" applyAlignment="1">
      <alignment vertical="top"/>
    </xf>
    <xf numFmtId="0" fontId="6" fillId="0" borderId="103" xfId="0" applyFont="1" applyBorder="1" applyAlignment="1">
      <alignment horizontal="center" vertical="top"/>
    </xf>
    <xf numFmtId="0" fontId="42" fillId="0" borderId="103" xfId="0" applyFont="1" applyBorder="1" applyAlignment="1">
      <alignment horizontal="center" vertical="top"/>
    </xf>
    <xf numFmtId="0" fontId="46" fillId="0" borderId="98" xfId="1" quotePrefix="1" applyFont="1" applyFill="1" applyBorder="1" applyAlignment="1">
      <alignment vertical="top"/>
    </xf>
    <xf numFmtId="0" fontId="30" fillId="0" borderId="99" xfId="1" quotePrefix="1" applyFont="1" applyFill="1" applyBorder="1" applyAlignment="1">
      <alignment vertical="top"/>
    </xf>
    <xf numFmtId="0" fontId="31" fillId="0" borderId="100" xfId="1" quotePrefix="1" applyFont="1" applyFill="1" applyBorder="1" applyAlignment="1">
      <alignment vertical="top"/>
    </xf>
    <xf numFmtId="0" fontId="32" fillId="0" borderId="101" xfId="1" quotePrefix="1" applyFont="1" applyFill="1" applyBorder="1" applyAlignment="1">
      <alignment vertical="top"/>
    </xf>
    <xf numFmtId="0" fontId="33" fillId="0" borderId="102" xfId="1" quotePrefix="1" applyFont="1" applyFill="1" applyBorder="1" applyAlignment="1">
      <alignment vertical="top"/>
    </xf>
    <xf numFmtId="0" fontId="47" fillId="0" borderId="103" xfId="1" quotePrefix="1" applyFont="1" applyFill="1" applyBorder="1" applyAlignment="1">
      <alignment vertical="top"/>
    </xf>
    <xf numFmtId="0" fontId="35" fillId="0" borderId="41" xfId="0" applyFont="1" applyFill="1" applyBorder="1" applyAlignment="1">
      <alignment vertical="top" wrapText="1"/>
    </xf>
    <xf numFmtId="0" fontId="35" fillId="0" borderId="42" xfId="0" applyFont="1" applyFill="1" applyBorder="1" applyAlignment="1">
      <alignment vertical="top" wrapText="1"/>
    </xf>
    <xf numFmtId="0" fontId="35" fillId="0" borderId="41" xfId="0" applyFont="1" applyFill="1" applyBorder="1" applyAlignment="1">
      <alignment vertical="center" wrapText="1"/>
    </xf>
    <xf numFmtId="0" fontId="35" fillId="0" borderId="42" xfId="0" applyFont="1" applyFill="1" applyBorder="1" applyAlignment="1">
      <alignment vertical="center" wrapText="1"/>
    </xf>
    <xf numFmtId="0" fontId="6" fillId="2" borderId="95" xfId="0" applyFont="1" applyFill="1" applyBorder="1" applyAlignment="1" applyProtection="1">
      <alignment vertical="center" wrapText="1"/>
      <protection locked="0"/>
    </xf>
    <xf numFmtId="0" fontId="6" fillId="2" borderId="96" xfId="0" applyFont="1" applyFill="1" applyBorder="1" applyAlignment="1" applyProtection="1">
      <alignment vertical="center" wrapText="1"/>
      <protection locked="0"/>
    </xf>
    <xf numFmtId="0" fontId="6" fillId="2" borderId="97" xfId="0" applyFont="1" applyFill="1" applyBorder="1" applyAlignment="1" applyProtection="1">
      <alignment vertical="center" wrapText="1"/>
      <protection locked="0"/>
    </xf>
    <xf numFmtId="0" fontId="6" fillId="0" borderId="98" xfId="0" applyFont="1" applyBorder="1" applyAlignment="1" applyProtection="1">
      <alignment vertical="top"/>
      <protection locked="0"/>
    </xf>
    <xf numFmtId="0" fontId="6" fillId="0" borderId="0" xfId="0" applyFont="1" applyProtection="1">
      <protection locked="0"/>
    </xf>
    <xf numFmtId="0" fontId="6" fillId="0" borderId="99" xfId="0" applyFont="1" applyBorder="1" applyAlignment="1" applyProtection="1">
      <alignment vertical="top"/>
      <protection locked="0"/>
    </xf>
    <xf numFmtId="0" fontId="6" fillId="0" borderId="100" xfId="0" applyFont="1" applyBorder="1" applyAlignment="1" applyProtection="1">
      <alignment vertical="top"/>
      <protection locked="0"/>
    </xf>
    <xf numFmtId="0" fontId="50" fillId="0" borderId="0" xfId="0" applyFont="1" applyAlignment="1" applyProtection="1">
      <alignment horizontal="left"/>
      <protection locked="0"/>
    </xf>
    <xf numFmtId="0" fontId="51" fillId="0" borderId="0" xfId="1" applyFont="1" applyAlignment="1">
      <alignment horizontal="left" vertical="top"/>
    </xf>
    <xf numFmtId="0" fontId="6" fillId="12" borderId="20" xfId="0" applyFont="1" applyFill="1" applyBorder="1" applyAlignment="1">
      <alignment horizontal="center"/>
    </xf>
    <xf numFmtId="0" fontId="6" fillId="12" borderId="0" xfId="0" applyFont="1" applyFill="1" applyBorder="1" applyAlignment="1">
      <alignment vertical="top"/>
    </xf>
    <xf numFmtId="0" fontId="17" fillId="12" borderId="0" xfId="0" applyFont="1" applyFill="1" applyBorder="1" applyAlignment="1">
      <alignment horizontal="left" vertical="top"/>
    </xf>
    <xf numFmtId="0" fontId="17" fillId="12" borderId="13" xfId="0" applyFont="1" applyFill="1" applyBorder="1" applyAlignment="1">
      <alignment horizontal="left" vertical="top"/>
    </xf>
    <xf numFmtId="0" fontId="17" fillId="12" borderId="14" xfId="0" applyFont="1" applyFill="1" applyBorder="1" applyAlignment="1">
      <alignment horizontal="left" vertical="top"/>
    </xf>
    <xf numFmtId="0" fontId="6" fillId="12" borderId="0" xfId="0" applyFont="1" applyFill="1"/>
    <xf numFmtId="0" fontId="6" fillId="12" borderId="13" xfId="0" applyFont="1" applyFill="1" applyBorder="1"/>
    <xf numFmtId="0" fontId="6" fillId="12" borderId="0" xfId="0" applyFont="1" applyFill="1" applyBorder="1"/>
    <xf numFmtId="0" fontId="6" fillId="12" borderId="14" xfId="0" applyFont="1" applyFill="1" applyBorder="1"/>
    <xf numFmtId="0" fontId="6" fillId="12" borderId="19" xfId="0" applyFont="1" applyFill="1" applyBorder="1" applyAlignment="1">
      <alignment horizontal="center"/>
    </xf>
    <xf numFmtId="0" fontId="6" fillId="12" borderId="9" xfId="0" applyFont="1" applyFill="1" applyBorder="1" applyAlignment="1">
      <alignment vertical="top"/>
    </xf>
    <xf numFmtId="0" fontId="17" fillId="12" borderId="9" xfId="0" applyFont="1" applyFill="1" applyBorder="1" applyAlignment="1">
      <alignment horizontal="left" vertical="top"/>
    </xf>
    <xf numFmtId="0" fontId="6" fillId="12" borderId="15" xfId="0" applyFont="1" applyFill="1" applyBorder="1"/>
    <xf numFmtId="0" fontId="6" fillId="12" borderId="9" xfId="0" applyFont="1" applyFill="1" applyBorder="1"/>
    <xf numFmtId="0" fontId="6" fillId="12" borderId="16" xfId="0" applyFont="1" applyFill="1" applyBorder="1"/>
    <xf numFmtId="0" fontId="18" fillId="12" borderId="15" xfId="0" applyFont="1" applyFill="1" applyBorder="1" applyAlignment="1">
      <alignment horizontal="left" vertical="top"/>
    </xf>
    <xf numFmtId="0" fontId="18" fillId="12" borderId="9" xfId="0" applyFont="1" applyFill="1" applyBorder="1" applyAlignment="1">
      <alignment horizontal="left" vertical="top"/>
    </xf>
    <xf numFmtId="0" fontId="18" fillId="12" borderId="16" xfId="0" applyFont="1" applyFill="1" applyBorder="1" applyAlignment="1">
      <alignment horizontal="left" vertical="top"/>
    </xf>
    <xf numFmtId="0" fontId="16" fillId="12" borderId="13" xfId="0" applyFont="1" applyFill="1" applyBorder="1" applyAlignment="1">
      <alignment horizontal="left" vertical="top"/>
    </xf>
    <xf numFmtId="0" fontId="16" fillId="12" borderId="0" xfId="0" applyFont="1" applyFill="1" applyBorder="1" applyAlignment="1">
      <alignment horizontal="left" vertical="top"/>
    </xf>
    <xf numFmtId="0" fontId="16" fillId="12" borderId="14" xfId="0" applyFont="1" applyFill="1" applyBorder="1" applyAlignment="1">
      <alignment horizontal="left" vertical="top"/>
    </xf>
    <xf numFmtId="0" fontId="17" fillId="12" borderId="15" xfId="0" applyFont="1" applyFill="1" applyBorder="1" applyAlignment="1">
      <alignment horizontal="left" vertical="top"/>
    </xf>
    <xf numFmtId="0" fontId="17" fillId="12" borderId="16" xfId="0" applyFont="1" applyFill="1" applyBorder="1" applyAlignment="1">
      <alignment horizontal="left" vertical="top"/>
    </xf>
    <xf numFmtId="0" fontId="6" fillId="11" borderId="0" xfId="0" applyFont="1" applyFill="1" applyBorder="1"/>
    <xf numFmtId="0" fontId="16" fillId="11" borderId="17" xfId="0" applyFont="1" applyFill="1" applyBorder="1" applyAlignment="1">
      <alignment horizontal="center" vertical="top"/>
    </xf>
    <xf numFmtId="0" fontId="16" fillId="11" borderId="8" xfId="0" applyFont="1" applyFill="1" applyBorder="1" applyAlignment="1">
      <alignment horizontal="center" vertical="top"/>
    </xf>
    <xf numFmtId="0" fontId="16" fillId="11" borderId="7" xfId="0" applyFont="1" applyFill="1" applyBorder="1" applyAlignment="1">
      <alignment horizontal="center" vertical="top"/>
    </xf>
    <xf numFmtId="0" fontId="6" fillId="11" borderId="0" xfId="0" applyFont="1" applyFill="1"/>
    <xf numFmtId="0" fontId="6" fillId="11" borderId="20" xfId="0" applyFont="1" applyFill="1" applyBorder="1" applyAlignment="1">
      <alignment horizontal="center"/>
    </xf>
    <xf numFmtId="0" fontId="6" fillId="11" borderId="0" xfId="0" applyFont="1" applyFill="1" applyBorder="1" applyAlignment="1">
      <alignment vertical="top"/>
    </xf>
    <xf numFmtId="0" fontId="17" fillId="11" borderId="0" xfId="0" applyFont="1" applyFill="1" applyBorder="1" applyAlignment="1">
      <alignment horizontal="left" vertical="top"/>
    </xf>
    <xf numFmtId="0" fontId="17" fillId="11" borderId="13" xfId="0" applyFont="1" applyFill="1" applyBorder="1" applyAlignment="1">
      <alignment horizontal="left" vertical="top"/>
    </xf>
    <xf numFmtId="0" fontId="17" fillId="11" borderId="14" xfId="0" applyFont="1" applyFill="1" applyBorder="1" applyAlignment="1">
      <alignment horizontal="left" vertical="top"/>
    </xf>
    <xf numFmtId="0" fontId="6" fillId="11" borderId="13" xfId="0" applyFont="1" applyFill="1" applyBorder="1"/>
    <xf numFmtId="0" fontId="6" fillId="11" borderId="14" xfId="0" applyFont="1" applyFill="1" applyBorder="1"/>
    <xf numFmtId="0" fontId="16" fillId="11" borderId="13" xfId="0" applyFont="1" applyFill="1" applyBorder="1" applyAlignment="1">
      <alignment horizontal="left" vertical="top"/>
    </xf>
    <xf numFmtId="0" fontId="16" fillId="11" borderId="0" xfId="0" applyFont="1" applyFill="1" applyBorder="1" applyAlignment="1">
      <alignment horizontal="left" vertical="top"/>
    </xf>
    <xf numFmtId="0" fontId="16" fillId="11" borderId="14" xfId="0" applyFont="1" applyFill="1" applyBorder="1" applyAlignment="1">
      <alignment horizontal="left" vertical="top"/>
    </xf>
    <xf numFmtId="0" fontId="18" fillId="11" borderId="13" xfId="0" applyFont="1" applyFill="1" applyBorder="1" applyAlignment="1">
      <alignment horizontal="left" vertical="top"/>
    </xf>
    <xf numFmtId="0" fontId="18" fillId="11" borderId="0" xfId="0" applyFont="1" applyFill="1" applyBorder="1" applyAlignment="1">
      <alignment horizontal="left" vertical="top"/>
    </xf>
    <xf numFmtId="0" fontId="18" fillId="11" borderId="14" xfId="0" applyFont="1" applyFill="1" applyBorder="1" applyAlignment="1">
      <alignment horizontal="left" vertical="top"/>
    </xf>
    <xf numFmtId="0" fontId="4" fillId="13" borderId="0" xfId="0" applyFont="1" applyFill="1" applyAlignment="1" applyProtection="1">
      <alignment horizontal="left"/>
      <protection locked="0"/>
    </xf>
    <xf numFmtId="0" fontId="4" fillId="13" borderId="0" xfId="0" applyFont="1" applyFill="1"/>
    <xf numFmtId="0" fontId="48" fillId="13" borderId="0" xfId="0" applyFont="1" applyFill="1" applyAlignment="1">
      <alignment horizontal="center" vertical="center"/>
    </xf>
    <xf numFmtId="0" fontId="48" fillId="13" borderId="0" xfId="0" applyFont="1" applyFill="1" applyAlignment="1">
      <alignment vertical="center"/>
    </xf>
    <xf numFmtId="0" fontId="4" fillId="13" borderId="0" xfId="0" applyFont="1" applyFill="1" applyAlignment="1">
      <alignment horizontal="center" vertical="center"/>
    </xf>
    <xf numFmtId="0" fontId="4" fillId="13" borderId="0" xfId="0" applyFont="1" applyFill="1" applyAlignment="1">
      <alignment horizontal="center"/>
    </xf>
    <xf numFmtId="0" fontId="8" fillId="13" borderId="0" xfId="0" applyFont="1" applyFill="1" applyAlignment="1">
      <alignment vertical="center"/>
    </xf>
    <xf numFmtId="0" fontId="2" fillId="13" borderId="0" xfId="0" applyFont="1" applyFill="1"/>
    <xf numFmtId="164" fontId="6" fillId="0" borderId="0" xfId="0" applyNumberFormat="1" applyFont="1"/>
    <xf numFmtId="0" fontId="53" fillId="0" borderId="0" xfId="0" applyFont="1" applyBorder="1" applyAlignment="1">
      <alignment horizontal="center" vertical="center"/>
    </xf>
    <xf numFmtId="0" fontId="53" fillId="0" borderId="5" xfId="0" applyFont="1" applyFill="1" applyBorder="1" applyAlignment="1">
      <alignment horizontal="center" vertical="center"/>
    </xf>
    <xf numFmtId="0" fontId="53" fillId="0" borderId="5" xfId="0" applyFont="1" applyBorder="1" applyAlignment="1">
      <alignment horizontal="center" vertical="center"/>
    </xf>
    <xf numFmtId="0" fontId="53" fillId="0" borderId="0" xfId="0" applyFont="1" applyAlignment="1">
      <alignment horizontal="center" vertical="center"/>
    </xf>
    <xf numFmtId="0" fontId="4" fillId="14" borderId="0" xfId="0" applyFont="1" applyFill="1"/>
    <xf numFmtId="0" fontId="52" fillId="5" borderId="0" xfId="0" applyFont="1" applyFill="1"/>
    <xf numFmtId="0" fontId="52" fillId="4" borderId="0" xfId="0" applyFont="1" applyFill="1"/>
    <xf numFmtId="0" fontId="52" fillId="10" borderId="0" xfId="0" applyFont="1" applyFill="1"/>
    <xf numFmtId="0" fontId="52" fillId="8" borderId="0" xfId="0" applyFont="1" applyFill="1"/>
    <xf numFmtId="0" fontId="52" fillId="9" borderId="0" xfId="0" applyFont="1" applyFill="1"/>
    <xf numFmtId="164" fontId="6" fillId="0" borderId="0" xfId="0" applyNumberFormat="1" applyFont="1" applyAlignment="1">
      <alignment vertical="center"/>
    </xf>
    <xf numFmtId="0" fontId="8" fillId="13"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53" fillId="0" borderId="106" xfId="0" applyFont="1" applyFill="1" applyBorder="1" applyAlignment="1">
      <alignment horizontal="center" vertical="center"/>
    </xf>
    <xf numFmtId="0" fontId="53" fillId="0" borderId="107" xfId="0" applyFont="1" applyFill="1" applyBorder="1" applyAlignment="1">
      <alignment horizontal="center" vertical="center"/>
    </xf>
    <xf numFmtId="0" fontId="53" fillId="0" borderId="108" xfId="0" applyFont="1" applyFill="1" applyBorder="1" applyAlignment="1">
      <alignment horizontal="center" vertical="center"/>
    </xf>
    <xf numFmtId="0" fontId="53" fillId="0" borderId="109" xfId="0" applyFont="1" applyFill="1" applyBorder="1" applyAlignment="1">
      <alignment horizontal="center" vertical="center"/>
    </xf>
    <xf numFmtId="0" fontId="53" fillId="0" borderId="110" xfId="0" applyFont="1" applyFill="1" applyBorder="1" applyAlignment="1">
      <alignment horizontal="center" vertical="center"/>
    </xf>
    <xf numFmtId="0" fontId="53" fillId="0" borderId="99" xfId="0" applyFont="1" applyBorder="1" applyAlignment="1">
      <alignment horizontal="center" vertical="center"/>
    </xf>
    <xf numFmtId="0" fontId="53" fillId="0" borderId="100" xfId="0" applyFont="1" applyBorder="1" applyAlignment="1">
      <alignment horizontal="center" vertical="center"/>
    </xf>
    <xf numFmtId="0" fontId="53" fillId="0" borderId="101" xfId="0" applyFont="1" applyBorder="1" applyAlignment="1">
      <alignment horizontal="center" vertical="center"/>
    </xf>
    <xf numFmtId="0" fontId="53" fillId="0" borderId="102" xfId="0" applyFont="1" applyBorder="1" applyAlignment="1">
      <alignment horizontal="center" vertical="center"/>
    </xf>
    <xf numFmtId="0" fontId="53" fillId="0" borderId="111" xfId="0" applyFont="1" applyBorder="1" applyAlignment="1">
      <alignment horizontal="center" vertical="center"/>
    </xf>
    <xf numFmtId="0" fontId="6" fillId="0" borderId="112" xfId="0" applyFont="1" applyBorder="1" applyAlignment="1">
      <alignment horizontal="center" vertical="center"/>
    </xf>
    <xf numFmtId="164" fontId="6" fillId="0" borderId="113" xfId="0" applyNumberFormat="1" applyFont="1" applyBorder="1" applyAlignment="1">
      <alignment vertical="center"/>
    </xf>
    <xf numFmtId="0" fontId="6" fillId="0" borderId="114" xfId="0" applyFont="1" applyBorder="1" applyAlignment="1">
      <alignment horizontal="center" vertical="center"/>
    </xf>
    <xf numFmtId="164" fontId="6" fillId="0" borderId="115" xfId="0" applyNumberFormat="1" applyFont="1" applyBorder="1" applyAlignment="1">
      <alignment vertical="center"/>
    </xf>
    <xf numFmtId="0" fontId="6" fillId="0" borderId="116" xfId="0" applyFont="1" applyBorder="1" applyAlignment="1">
      <alignment horizontal="center" vertical="center"/>
    </xf>
    <xf numFmtId="164" fontId="6" fillId="0" borderId="117" xfId="0" applyNumberFormat="1" applyFont="1" applyBorder="1" applyAlignment="1">
      <alignment vertical="center"/>
    </xf>
    <xf numFmtId="164" fontId="6" fillId="0" borderId="32" xfId="0" applyNumberFormat="1" applyFont="1" applyBorder="1" applyAlignment="1">
      <alignment vertical="center"/>
    </xf>
    <xf numFmtId="164" fontId="6" fillId="0" borderId="35" xfId="0" applyNumberFormat="1" applyFont="1" applyBorder="1" applyAlignment="1">
      <alignment vertical="center"/>
    </xf>
    <xf numFmtId="164" fontId="6" fillId="0" borderId="38" xfId="0" applyNumberFormat="1" applyFont="1" applyBorder="1" applyAlignment="1">
      <alignment vertical="center"/>
    </xf>
    <xf numFmtId="0" fontId="1" fillId="0" borderId="0" xfId="0" applyFont="1" applyBorder="1" applyAlignment="1">
      <alignment horizontal="center" vertical="center"/>
    </xf>
    <xf numFmtId="0" fontId="53" fillId="0" borderId="118" xfId="0" applyFont="1" applyBorder="1" applyAlignment="1">
      <alignment horizontal="center" vertical="center"/>
    </xf>
    <xf numFmtId="0" fontId="53" fillId="0" borderId="119" xfId="0" applyFont="1" applyBorder="1" applyAlignment="1">
      <alignment horizontal="center" vertical="center"/>
    </xf>
    <xf numFmtId="0" fontId="53" fillId="0" borderId="120" xfId="0" applyFont="1" applyBorder="1" applyAlignment="1">
      <alignment horizontal="center" vertical="center"/>
    </xf>
    <xf numFmtId="0" fontId="53" fillId="0" borderId="121" xfId="0" applyFont="1" applyBorder="1" applyAlignment="1">
      <alignment horizontal="center" vertical="center"/>
    </xf>
    <xf numFmtId="0" fontId="53" fillId="0" borderId="122" xfId="0" applyFont="1" applyBorder="1" applyAlignment="1">
      <alignment horizontal="center" vertical="center"/>
    </xf>
    <xf numFmtId="0" fontId="53" fillId="0" borderId="123" xfId="0" applyFont="1" applyBorder="1" applyAlignment="1">
      <alignment horizontal="center" vertical="center"/>
    </xf>
    <xf numFmtId="0" fontId="53" fillId="0" borderId="124" xfId="0" applyFont="1" applyBorder="1" applyAlignment="1">
      <alignment horizontal="center" vertical="center"/>
    </xf>
    <xf numFmtId="0" fontId="53" fillId="0" borderId="125" xfId="0" applyFont="1" applyBorder="1" applyAlignment="1">
      <alignment horizontal="center" vertical="center"/>
    </xf>
    <xf numFmtId="0" fontId="6" fillId="0" borderId="126" xfId="0" applyFont="1" applyBorder="1" applyAlignment="1">
      <alignment horizontal="center" vertical="center"/>
    </xf>
    <xf numFmtId="164" fontId="6" fillId="0" borderId="126" xfId="0" applyNumberFormat="1" applyFont="1" applyBorder="1" applyAlignment="1">
      <alignment vertical="center"/>
    </xf>
    <xf numFmtId="0" fontId="53" fillId="0" borderId="128" xfId="0" applyFont="1" applyFill="1" applyBorder="1" applyAlignment="1">
      <alignment horizontal="center" vertical="center"/>
    </xf>
    <xf numFmtId="0" fontId="53" fillId="0" borderId="129" xfId="0" applyFont="1" applyFill="1" applyBorder="1" applyAlignment="1">
      <alignment horizontal="center" vertical="center"/>
    </xf>
    <xf numFmtId="0" fontId="53" fillId="0" borderId="130" xfId="0" applyFont="1" applyFill="1" applyBorder="1" applyAlignment="1">
      <alignment horizontal="center" vertical="center"/>
    </xf>
    <xf numFmtId="0" fontId="53" fillId="0" borderId="127" xfId="0" applyFont="1" applyBorder="1" applyAlignment="1">
      <alignment horizontal="center" vertical="center"/>
    </xf>
    <xf numFmtId="0" fontId="6" fillId="0" borderId="99" xfId="0" applyFont="1" applyBorder="1" applyAlignment="1">
      <alignment horizontal="center" vertical="center"/>
    </xf>
    <xf numFmtId="164" fontId="6" fillId="0" borderId="99" xfId="0" applyNumberFormat="1" applyFont="1" applyBorder="1" applyAlignment="1">
      <alignment vertical="center"/>
    </xf>
    <xf numFmtId="164" fontId="6" fillId="0" borderId="47" xfId="0" applyNumberFormat="1" applyFont="1" applyBorder="1" applyAlignment="1">
      <alignment vertical="center"/>
    </xf>
    <xf numFmtId="164" fontId="6" fillId="0" borderId="49" xfId="0" applyNumberFormat="1" applyFont="1" applyBorder="1" applyAlignment="1">
      <alignment vertical="center"/>
    </xf>
    <xf numFmtId="164" fontId="6" fillId="0" borderId="52" xfId="0" applyNumberFormat="1" applyFont="1" applyBorder="1" applyAlignment="1">
      <alignment vertical="center"/>
    </xf>
    <xf numFmtId="0" fontId="53" fillId="0" borderId="131" xfId="0" applyFont="1" applyBorder="1" applyAlignment="1">
      <alignment horizontal="center" vertical="center"/>
    </xf>
    <xf numFmtId="0" fontId="53" fillId="0" borderId="132" xfId="0" applyFont="1" applyBorder="1" applyAlignment="1">
      <alignment horizontal="center" vertical="center"/>
    </xf>
    <xf numFmtId="0" fontId="53" fillId="0" borderId="133" xfId="0" applyFont="1" applyBorder="1" applyAlignment="1">
      <alignment horizontal="center" vertical="center"/>
    </xf>
    <xf numFmtId="0" fontId="53" fillId="0" borderId="134" xfId="0" applyFont="1" applyBorder="1" applyAlignment="1">
      <alignment horizontal="center" vertical="center"/>
    </xf>
    <xf numFmtId="0" fontId="53" fillId="0" borderId="135" xfId="0" applyFont="1" applyBorder="1" applyAlignment="1">
      <alignment horizontal="center" vertical="center"/>
    </xf>
    <xf numFmtId="0" fontId="53" fillId="0" borderId="136" xfId="0" applyFont="1" applyBorder="1" applyAlignment="1">
      <alignment horizontal="center" vertical="center"/>
    </xf>
    <xf numFmtId="0" fontId="53" fillId="0" borderId="137" xfId="0" applyFont="1" applyBorder="1" applyAlignment="1">
      <alignment horizontal="center" vertical="center"/>
    </xf>
    <xf numFmtId="0" fontId="53" fillId="0" borderId="138" xfId="0" applyFont="1" applyBorder="1" applyAlignment="1">
      <alignment horizontal="center" vertical="center"/>
    </xf>
    <xf numFmtId="164" fontId="6" fillId="0" borderId="61" xfId="0" applyNumberFormat="1" applyFont="1" applyBorder="1" applyAlignment="1">
      <alignment vertical="center"/>
    </xf>
    <xf numFmtId="164" fontId="6" fillId="0" borderId="63" xfId="0" applyNumberFormat="1" applyFont="1" applyBorder="1" applyAlignment="1">
      <alignment vertical="center"/>
    </xf>
    <xf numFmtId="164" fontId="6" fillId="0" borderId="66" xfId="0" applyNumberFormat="1" applyFont="1" applyBorder="1" applyAlignment="1">
      <alignment vertical="center"/>
    </xf>
    <xf numFmtId="0" fontId="53" fillId="0" borderId="139" xfId="0" applyFont="1" applyBorder="1" applyAlignment="1">
      <alignment horizontal="center" vertical="center"/>
    </xf>
    <xf numFmtId="0" fontId="53" fillId="0" borderId="140" xfId="0" applyFont="1" applyBorder="1" applyAlignment="1">
      <alignment horizontal="center" vertical="center"/>
    </xf>
    <xf numFmtId="0" fontId="53" fillId="0" borderId="141" xfId="0" applyFont="1" applyBorder="1" applyAlignment="1">
      <alignment horizontal="center" vertical="center"/>
    </xf>
    <xf numFmtId="0" fontId="53" fillId="0" borderId="142" xfId="0" applyFont="1" applyBorder="1" applyAlignment="1">
      <alignment horizontal="center" vertical="center"/>
    </xf>
    <xf numFmtId="0" fontId="53" fillId="0" borderId="143" xfId="0" applyFont="1" applyBorder="1" applyAlignment="1">
      <alignment horizontal="center" vertical="center"/>
    </xf>
    <xf numFmtId="0" fontId="53" fillId="0" borderId="144" xfId="0" applyFont="1" applyBorder="1" applyAlignment="1">
      <alignment horizontal="center" vertical="center"/>
    </xf>
    <xf numFmtId="0" fontId="53" fillId="0" borderId="145" xfId="0" applyFont="1" applyBorder="1" applyAlignment="1">
      <alignment horizontal="center" vertical="center"/>
    </xf>
    <xf numFmtId="0" fontId="53" fillId="0" borderId="146" xfId="0" applyFont="1" applyBorder="1" applyAlignment="1">
      <alignment horizontal="center" vertical="center"/>
    </xf>
    <xf numFmtId="164" fontId="6" fillId="0" borderId="75" xfId="0" applyNumberFormat="1" applyFont="1" applyBorder="1" applyAlignment="1">
      <alignment vertical="center"/>
    </xf>
    <xf numFmtId="164" fontId="6" fillId="0" borderId="77" xfId="0" applyNumberFormat="1" applyFont="1" applyBorder="1" applyAlignment="1">
      <alignment vertical="center"/>
    </xf>
    <xf numFmtId="164" fontId="6" fillId="0" borderId="80" xfId="0" applyNumberFormat="1" applyFont="1" applyBorder="1" applyAlignment="1">
      <alignment vertical="center"/>
    </xf>
    <xf numFmtId="0" fontId="53" fillId="0" borderId="147" xfId="0" applyFont="1" applyBorder="1" applyAlignment="1">
      <alignment horizontal="center" vertical="center"/>
    </xf>
    <xf numFmtId="0" fontId="53" fillId="0" borderId="148" xfId="0" applyFont="1" applyBorder="1" applyAlignment="1">
      <alignment horizontal="center" vertical="center"/>
    </xf>
    <xf numFmtId="0" fontId="53" fillId="0" borderId="149" xfId="0" applyFont="1" applyBorder="1" applyAlignment="1">
      <alignment horizontal="center" vertical="center"/>
    </xf>
    <xf numFmtId="0" fontId="53" fillId="0" borderId="150" xfId="0" applyFont="1" applyBorder="1" applyAlignment="1">
      <alignment horizontal="center" vertical="center"/>
    </xf>
    <xf numFmtId="0" fontId="53" fillId="0" borderId="151" xfId="0" applyFont="1" applyBorder="1" applyAlignment="1">
      <alignment horizontal="center" vertical="center"/>
    </xf>
    <xf numFmtId="0" fontId="53" fillId="0" borderId="152" xfId="0" applyFont="1" applyBorder="1" applyAlignment="1">
      <alignment horizontal="center" vertical="center"/>
    </xf>
    <xf numFmtId="0" fontId="53" fillId="0" borderId="153" xfId="0" applyFont="1" applyBorder="1" applyAlignment="1">
      <alignment horizontal="center" vertical="center"/>
    </xf>
    <xf numFmtId="0" fontId="53" fillId="0" borderId="154" xfId="0" applyFont="1" applyBorder="1" applyAlignment="1">
      <alignment horizontal="center" vertical="center"/>
    </xf>
    <xf numFmtId="0" fontId="6" fillId="0" borderId="155" xfId="0" applyFont="1" applyBorder="1" applyAlignment="1">
      <alignment horizontal="center" vertical="center"/>
    </xf>
    <xf numFmtId="164" fontId="6" fillId="0" borderId="156" xfId="0" applyNumberFormat="1" applyFont="1" applyBorder="1" applyAlignment="1">
      <alignment vertical="center"/>
    </xf>
    <xf numFmtId="0" fontId="6" fillId="0" borderId="157" xfId="0" applyFont="1" applyBorder="1" applyAlignment="1">
      <alignment horizontal="center" vertical="center"/>
    </xf>
    <xf numFmtId="164" fontId="6" fillId="0" borderId="158" xfId="0" applyNumberFormat="1" applyFont="1" applyBorder="1" applyAlignment="1">
      <alignment vertical="center"/>
    </xf>
    <xf numFmtId="0" fontId="6" fillId="0" borderId="159" xfId="0" applyFont="1" applyBorder="1" applyAlignment="1">
      <alignment horizontal="center" vertical="center"/>
    </xf>
    <xf numFmtId="164" fontId="6" fillId="0" borderId="160" xfId="0" applyNumberFormat="1" applyFont="1" applyBorder="1" applyAlignment="1">
      <alignment vertical="center"/>
    </xf>
    <xf numFmtId="0" fontId="53" fillId="0" borderId="161" xfId="0" applyFont="1" applyBorder="1" applyAlignment="1">
      <alignment horizontal="center" vertical="center"/>
    </xf>
    <xf numFmtId="0" fontId="53" fillId="0" borderId="162" xfId="0" applyFont="1" applyBorder="1" applyAlignment="1">
      <alignment horizontal="center" vertical="center"/>
    </xf>
    <xf numFmtId="0" fontId="53" fillId="0" borderId="163" xfId="0" applyFont="1" applyBorder="1" applyAlignment="1">
      <alignment horizontal="center" vertical="center"/>
    </xf>
    <xf numFmtId="0" fontId="53" fillId="0" borderId="164" xfId="0" applyFont="1" applyBorder="1" applyAlignment="1">
      <alignment horizontal="center" vertical="center"/>
    </xf>
    <xf numFmtId="0" fontId="53" fillId="0" borderId="165" xfId="0" applyFont="1" applyBorder="1" applyAlignment="1">
      <alignment horizontal="center" vertical="center"/>
    </xf>
    <xf numFmtId="0" fontId="53" fillId="0" borderId="166" xfId="0" applyFont="1" applyBorder="1" applyAlignment="1">
      <alignment horizontal="center" vertical="center"/>
    </xf>
    <xf numFmtId="0" fontId="53" fillId="0" borderId="167" xfId="0" applyFont="1" applyBorder="1" applyAlignment="1">
      <alignment horizontal="center" vertical="center"/>
    </xf>
    <xf numFmtId="0" fontId="53" fillId="0" borderId="168" xfId="0" applyFont="1" applyBorder="1" applyAlignment="1">
      <alignment horizontal="center" vertical="center"/>
    </xf>
    <xf numFmtId="0" fontId="6" fillId="0" borderId="100" xfId="0" applyFont="1" applyBorder="1" applyAlignment="1">
      <alignment horizontal="center" vertical="center"/>
    </xf>
    <xf numFmtId="164" fontId="6" fillId="0" borderId="100" xfId="0" applyNumberFormat="1" applyFont="1" applyBorder="1" applyAlignment="1">
      <alignment vertical="center"/>
    </xf>
    <xf numFmtId="0" fontId="6" fillId="0" borderId="101" xfId="0" applyFont="1" applyBorder="1" applyAlignment="1">
      <alignment horizontal="center" vertical="center"/>
    </xf>
    <xf numFmtId="164" fontId="6" fillId="0" borderId="101" xfId="0" applyNumberFormat="1" applyFont="1" applyBorder="1" applyAlignment="1">
      <alignment vertical="center"/>
    </xf>
    <xf numFmtId="0" fontId="6" fillId="0" borderId="102" xfId="0" applyFont="1" applyBorder="1" applyAlignment="1">
      <alignment horizontal="center" vertical="center"/>
    </xf>
    <xf numFmtId="164" fontId="6" fillId="0" borderId="102" xfId="0" applyNumberFormat="1" applyFont="1" applyBorder="1" applyAlignment="1">
      <alignment vertical="center"/>
    </xf>
    <xf numFmtId="0" fontId="1" fillId="0" borderId="111" xfId="0" applyFont="1" applyBorder="1" applyAlignment="1">
      <alignment horizontal="center" vertical="center"/>
    </xf>
    <xf numFmtId="164" fontId="1" fillId="0" borderId="111" xfId="0" applyNumberFormat="1" applyFont="1" applyBorder="1" applyAlignment="1">
      <alignment vertical="center"/>
    </xf>
    <xf numFmtId="0" fontId="39" fillId="0" borderId="169" xfId="0" applyFont="1" applyBorder="1" applyAlignment="1">
      <alignment vertical="center"/>
    </xf>
    <xf numFmtId="0" fontId="45" fillId="0" borderId="0" xfId="0" applyFont="1" applyFill="1" applyAlignment="1">
      <alignment vertical="center"/>
    </xf>
    <xf numFmtId="164" fontId="1" fillId="0" borderId="0" xfId="0" applyNumberFormat="1" applyFont="1" applyBorder="1" applyAlignment="1">
      <alignment vertical="center"/>
    </xf>
    <xf numFmtId="0" fontId="6" fillId="0" borderId="101" xfId="0" applyFont="1" applyBorder="1" applyAlignment="1" applyProtection="1">
      <alignment vertical="top"/>
      <protection locked="0"/>
    </xf>
    <xf numFmtId="0" fontId="6" fillId="0" borderId="102" xfId="0" applyFont="1" applyBorder="1" applyAlignment="1" applyProtection="1">
      <alignment vertical="top"/>
      <protection locked="0"/>
    </xf>
    <xf numFmtId="0" fontId="2" fillId="0" borderId="0" xfId="0" applyFont="1" applyBorder="1" applyAlignment="1">
      <alignment vertical="center"/>
    </xf>
    <xf numFmtId="0" fontId="6" fillId="0" borderId="170" xfId="0" applyFont="1" applyFill="1" applyBorder="1" applyAlignment="1">
      <alignment horizontal="center" vertical="center" wrapText="1"/>
    </xf>
    <xf numFmtId="0" fontId="6" fillId="0" borderId="171" xfId="0" applyFont="1" applyFill="1" applyBorder="1" applyAlignment="1">
      <alignment vertical="center" wrapText="1"/>
    </xf>
    <xf numFmtId="0" fontId="42" fillId="0" borderId="172" xfId="0" applyFont="1" applyBorder="1" applyAlignment="1">
      <alignment horizontal="center" vertical="center"/>
    </xf>
    <xf numFmtId="0" fontId="6" fillId="0" borderId="171" xfId="0" applyFont="1" applyBorder="1" applyAlignment="1">
      <alignment vertical="center"/>
    </xf>
    <xf numFmtId="0" fontId="22" fillId="0" borderId="171" xfId="1" applyFont="1" applyFill="1" applyBorder="1" applyAlignment="1">
      <alignment horizontal="center" vertical="center"/>
    </xf>
    <xf numFmtId="0" fontId="23" fillId="0" borderId="171" xfId="1" applyFont="1" applyFill="1" applyBorder="1" applyAlignment="1">
      <alignment horizontal="center" vertical="center"/>
    </xf>
    <xf numFmtId="0" fontId="24" fillId="0" borderId="171" xfId="1" applyFont="1" applyFill="1" applyBorder="1" applyAlignment="1">
      <alignment horizontal="center" vertical="center"/>
    </xf>
    <xf numFmtId="0" fontId="25" fillId="0" borderId="171" xfId="1" applyFont="1" applyFill="1" applyBorder="1" applyAlignment="1">
      <alignment horizontal="center" vertical="center"/>
    </xf>
    <xf numFmtId="0" fontId="6" fillId="0" borderId="172" xfId="0" applyFont="1" applyBorder="1" applyAlignment="1">
      <alignment vertical="center"/>
    </xf>
    <xf numFmtId="0" fontId="6" fillId="0" borderId="173" xfId="0" applyFont="1" applyFill="1" applyBorder="1" applyAlignment="1">
      <alignment horizontal="center" vertical="center" wrapText="1"/>
    </xf>
    <xf numFmtId="0" fontId="6" fillId="0" borderId="34" xfId="0" applyFont="1" applyFill="1" applyBorder="1" applyAlignment="1">
      <alignment vertical="center" wrapText="1"/>
    </xf>
    <xf numFmtId="0" fontId="42" fillId="0" borderId="174" xfId="0" applyFont="1" applyBorder="1" applyAlignment="1">
      <alignment horizontal="center" vertical="center"/>
    </xf>
    <xf numFmtId="0" fontId="23" fillId="0" borderId="34" xfId="1" applyFont="1" applyFill="1" applyBorder="1" applyAlignment="1">
      <alignment horizontal="center" vertical="center"/>
    </xf>
    <xf numFmtId="0" fontId="24" fillId="0" borderId="34" xfId="1" applyFont="1" applyFill="1" applyBorder="1" applyAlignment="1">
      <alignment horizontal="center" vertical="center"/>
    </xf>
    <xf numFmtId="0" fontId="25" fillId="0" borderId="34" xfId="1" applyFont="1" applyFill="1" applyBorder="1" applyAlignment="1">
      <alignment horizontal="center" vertical="center"/>
    </xf>
    <xf numFmtId="0" fontId="6" fillId="0" borderId="174" xfId="0" applyFont="1" applyBorder="1" applyAlignment="1">
      <alignment vertical="center"/>
    </xf>
    <xf numFmtId="0" fontId="16" fillId="0" borderId="34" xfId="0" applyFont="1" applyFill="1" applyBorder="1" applyAlignment="1">
      <alignment horizontal="left" vertical="center" wrapText="1"/>
    </xf>
    <xf numFmtId="0" fontId="43" fillId="0" borderId="174" xfId="1" applyFont="1" applyFill="1" applyBorder="1" applyAlignment="1">
      <alignment horizontal="center" vertical="center"/>
    </xf>
    <xf numFmtId="0" fontId="6" fillId="0" borderId="175" xfId="0" applyFont="1" applyFill="1" applyBorder="1" applyAlignment="1">
      <alignment horizontal="center" vertical="center" wrapText="1"/>
    </xf>
    <xf numFmtId="0" fontId="6" fillId="0" borderId="176" xfId="0" applyFont="1" applyFill="1" applyBorder="1" applyAlignment="1">
      <alignment vertical="center" wrapText="1"/>
    </xf>
    <xf numFmtId="0" fontId="43" fillId="0" borderId="177" xfId="1" applyFont="1" applyFill="1" applyBorder="1" applyAlignment="1">
      <alignment horizontal="center" vertical="center"/>
    </xf>
    <xf numFmtId="0" fontId="6" fillId="0" borderId="176" xfId="0" applyFont="1" applyBorder="1" applyAlignment="1">
      <alignment vertical="center"/>
    </xf>
    <xf numFmtId="0" fontId="22" fillId="0" borderId="176" xfId="1" applyFont="1" applyFill="1" applyBorder="1" applyAlignment="1">
      <alignment horizontal="center" vertical="center"/>
    </xf>
    <xf numFmtId="0" fontId="23" fillId="0" borderId="176" xfId="1" applyFont="1" applyFill="1" applyBorder="1" applyAlignment="1">
      <alignment horizontal="center" vertical="center"/>
    </xf>
    <xf numFmtId="0" fontId="24" fillId="0" borderId="176" xfId="1" applyFont="1" applyFill="1" applyBorder="1" applyAlignment="1">
      <alignment horizontal="center" vertical="center"/>
    </xf>
    <xf numFmtId="0" fontId="25" fillId="0" borderId="176" xfId="1" applyFont="1" applyFill="1" applyBorder="1" applyAlignment="1">
      <alignment horizontal="center" vertical="center"/>
    </xf>
    <xf numFmtId="0" fontId="6" fillId="0" borderId="177" xfId="0" applyFont="1" applyBorder="1" applyAlignment="1">
      <alignment vertical="center"/>
    </xf>
    <xf numFmtId="0" fontId="6" fillId="2" borderId="178" xfId="0" applyFont="1" applyFill="1" applyBorder="1" applyAlignment="1" applyProtection="1">
      <alignment vertical="center" wrapText="1"/>
      <protection locked="0"/>
    </xf>
    <xf numFmtId="0" fontId="44" fillId="0" borderId="0" xfId="0" applyFont="1" applyFill="1" applyAlignment="1"/>
    <xf numFmtId="0" fontId="65" fillId="0" borderId="0" xfId="0" applyFont="1" applyFill="1" applyAlignment="1">
      <alignment vertical="top"/>
    </xf>
    <xf numFmtId="0" fontId="57" fillId="0" borderId="0" xfId="0" applyFont="1" applyFill="1" applyBorder="1" applyAlignment="1" applyProtection="1">
      <alignment horizontal="center" vertical="center" wrapText="1"/>
      <protection locked="0"/>
    </xf>
    <xf numFmtId="0" fontId="42" fillId="0" borderId="0" xfId="0" applyFont="1" applyFill="1" applyAlignment="1">
      <alignment vertical="center"/>
    </xf>
    <xf numFmtId="0" fontId="1" fillId="0" borderId="0" xfId="0" applyFont="1" applyBorder="1" applyAlignment="1">
      <alignment horizontal="center"/>
    </xf>
    <xf numFmtId="0" fontId="17" fillId="0" borderId="0" xfId="0" applyFont="1" applyAlignment="1">
      <alignment vertical="center"/>
    </xf>
    <xf numFmtId="0" fontId="41" fillId="0" borderId="0" xfId="0" applyFont="1" applyBorder="1" applyAlignment="1">
      <alignment horizontal="center" vertical="center"/>
    </xf>
    <xf numFmtId="0" fontId="41" fillId="0" borderId="184" xfId="0" applyFont="1" applyBorder="1" applyAlignment="1">
      <alignment horizontal="center" vertical="center"/>
    </xf>
    <xf numFmtId="0" fontId="1" fillId="0" borderId="184" xfId="0" applyFont="1" applyBorder="1"/>
    <xf numFmtId="0" fontId="17" fillId="0" borderId="184" xfId="0" applyFont="1" applyBorder="1" applyAlignment="1">
      <alignment vertical="center"/>
    </xf>
    <xf numFmtId="0" fontId="41" fillId="0" borderId="23" xfId="0" applyFont="1" applyBorder="1" applyAlignment="1">
      <alignment horizontal="center" vertical="center"/>
    </xf>
    <xf numFmtId="0" fontId="1" fillId="0" borderId="23" xfId="0" applyFont="1" applyBorder="1"/>
    <xf numFmtId="0" fontId="17" fillId="0" borderId="23" xfId="0" applyFont="1" applyBorder="1" applyAlignment="1">
      <alignment vertical="center"/>
    </xf>
    <xf numFmtId="0" fontId="2" fillId="0" borderId="185" xfId="0" applyFont="1" applyBorder="1" applyAlignment="1">
      <alignment vertical="center"/>
    </xf>
    <xf numFmtId="0" fontId="2" fillId="0" borderId="186" xfId="0" applyFont="1" applyBorder="1" applyAlignment="1">
      <alignment vertical="center"/>
    </xf>
    <xf numFmtId="0" fontId="17" fillId="0" borderId="184" xfId="0" applyFont="1" applyBorder="1" applyAlignment="1">
      <alignment horizontal="right" vertical="center"/>
    </xf>
    <xf numFmtId="0" fontId="17" fillId="0" borderId="23" xfId="0" applyFont="1" applyBorder="1" applyAlignment="1">
      <alignment horizontal="right" vertical="center"/>
    </xf>
    <xf numFmtId="0" fontId="1" fillId="0" borderId="187" xfId="0" applyFont="1" applyBorder="1"/>
    <xf numFmtId="0" fontId="1" fillId="0" borderId="188" xfId="0" applyFont="1" applyBorder="1"/>
    <xf numFmtId="0" fontId="2" fillId="0" borderId="188" xfId="0" applyFont="1" applyBorder="1" applyAlignment="1">
      <alignment horizontal="center" vertical="center"/>
    </xf>
    <xf numFmtId="0" fontId="2" fillId="0" borderId="188" xfId="0" applyFont="1" applyBorder="1" applyAlignment="1">
      <alignment vertical="center"/>
    </xf>
    <xf numFmtId="0" fontId="41" fillId="0" borderId="188" xfId="0" applyFont="1" applyBorder="1" applyAlignment="1">
      <alignment horizontal="center" vertical="center"/>
    </xf>
    <xf numFmtId="0" fontId="1" fillId="0" borderId="188" xfId="0" applyFont="1" applyBorder="1" applyAlignment="1">
      <alignment horizontal="center"/>
    </xf>
    <xf numFmtId="0" fontId="1" fillId="0" borderId="189" xfId="0" applyFont="1" applyBorder="1"/>
    <xf numFmtId="0" fontId="1" fillId="0" borderId="190" xfId="0" applyFont="1" applyBorder="1"/>
    <xf numFmtId="0" fontId="67" fillId="0" borderId="0" xfId="0" applyFont="1" applyBorder="1" applyAlignment="1">
      <alignment horizontal="right"/>
    </xf>
    <xf numFmtId="0" fontId="68" fillId="0" borderId="0" xfId="0" applyFont="1" applyBorder="1" applyAlignment="1">
      <alignment horizontal="center" vertical="center"/>
    </xf>
    <xf numFmtId="0" fontId="67" fillId="0" borderId="0" xfId="0" applyFont="1" applyBorder="1" applyAlignment="1">
      <alignment horizontal="center" vertical="center"/>
    </xf>
    <xf numFmtId="0" fontId="69" fillId="0" borderId="0" xfId="0" applyFont="1" applyBorder="1" applyAlignment="1">
      <alignment horizontal="center" vertical="center"/>
    </xf>
    <xf numFmtId="0" fontId="67" fillId="0" borderId="0" xfId="0" applyFont="1" applyBorder="1" applyAlignment="1">
      <alignment horizontal="center"/>
    </xf>
    <xf numFmtId="0" fontId="67" fillId="0" borderId="0" xfId="0" applyFont="1" applyBorder="1" applyAlignment="1">
      <alignment horizontal="left"/>
    </xf>
    <xf numFmtId="0" fontId="67" fillId="0" borderId="191" xfId="0" applyFont="1" applyBorder="1" applyAlignment="1">
      <alignment horizontal="left"/>
    </xf>
    <xf numFmtId="0" fontId="1" fillId="0" borderId="0" xfId="0" applyFont="1" applyBorder="1" applyAlignment="1">
      <alignment horizontal="right"/>
    </xf>
    <xf numFmtId="0" fontId="2" fillId="0" borderId="0" xfId="0" applyFont="1" applyBorder="1" applyAlignment="1">
      <alignment horizontal="center" vertical="center"/>
    </xf>
    <xf numFmtId="0" fontId="1" fillId="0" borderId="191" xfId="0" applyFont="1" applyBorder="1"/>
    <xf numFmtId="0" fontId="1" fillId="0" borderId="192" xfId="0" applyFont="1" applyBorder="1"/>
    <xf numFmtId="0" fontId="1" fillId="0" borderId="193" xfId="0" applyFont="1" applyBorder="1"/>
    <xf numFmtId="0" fontId="1" fillId="0" borderId="194" xfId="0" applyFont="1" applyBorder="1"/>
    <xf numFmtId="0" fontId="1" fillId="0" borderId="195" xfId="0" applyFont="1" applyBorder="1"/>
    <xf numFmtId="0" fontId="2" fillId="0" borderId="195" xfId="0" applyFont="1" applyBorder="1" applyAlignment="1">
      <alignment horizontal="center" vertical="center"/>
    </xf>
    <xf numFmtId="0" fontId="2" fillId="0" borderId="195" xfId="0" applyFont="1" applyBorder="1" applyAlignment="1">
      <alignment vertical="center"/>
    </xf>
    <xf numFmtId="0" fontId="41" fillId="0" borderId="195" xfId="0" applyFont="1" applyBorder="1" applyAlignment="1">
      <alignment horizontal="center" vertical="center"/>
    </xf>
    <xf numFmtId="0" fontId="1" fillId="0" borderId="195" xfId="0" applyFont="1" applyBorder="1" applyAlignment="1">
      <alignment horizontal="center"/>
    </xf>
    <xf numFmtId="0" fontId="1" fillId="0" borderId="196" xfId="0" applyFont="1" applyBorder="1"/>
    <xf numFmtId="0" fontId="6" fillId="0" borderId="197" xfId="0" applyFont="1" applyBorder="1" applyAlignment="1">
      <alignment vertical="top"/>
    </xf>
    <xf numFmtId="0" fontId="6" fillId="0" borderId="197" xfId="0" applyFont="1" applyBorder="1" applyAlignment="1" applyProtection="1">
      <alignment vertical="top"/>
      <protection locked="0"/>
    </xf>
    <xf numFmtId="0" fontId="70" fillId="0" borderId="0" xfId="0" applyFont="1" applyFill="1" applyAlignment="1">
      <alignment vertical="top"/>
    </xf>
    <xf numFmtId="0" fontId="71" fillId="0" borderId="0" xfId="0" applyFont="1" applyAlignment="1" applyProtection="1">
      <alignment horizontal="left"/>
      <protection locked="0"/>
    </xf>
    <xf numFmtId="165" fontId="6" fillId="11" borderId="9" xfId="2" applyNumberFormat="1" applyFont="1" applyFill="1" applyBorder="1" applyAlignment="1"/>
    <xf numFmtId="0" fontId="49" fillId="13" borderId="0" xfId="1" applyFont="1" applyFill="1" applyAlignment="1">
      <alignment vertical="center"/>
    </xf>
    <xf numFmtId="0" fontId="54" fillId="9" borderId="105" xfId="0" applyFont="1" applyFill="1" applyBorder="1" applyAlignment="1">
      <alignment horizontal="center" vertical="top" wrapText="1"/>
    </xf>
    <xf numFmtId="0" fontId="56" fillId="9" borderId="105" xfId="0" applyFont="1" applyFill="1" applyBorder="1" applyAlignment="1">
      <alignment horizontal="center" vertical="center"/>
    </xf>
    <xf numFmtId="0" fontId="56" fillId="14" borderId="104" xfId="0" applyFont="1" applyFill="1" applyBorder="1" applyAlignment="1">
      <alignment horizontal="center" vertical="center"/>
    </xf>
    <xf numFmtId="0" fontId="54" fillId="5" borderId="27" xfId="0" applyFont="1" applyFill="1" applyBorder="1" applyAlignment="1">
      <alignment horizontal="center" vertical="top" wrapText="1"/>
    </xf>
    <xf numFmtId="0" fontId="56" fillId="5" borderId="27" xfId="0" applyFont="1" applyFill="1" applyBorder="1" applyAlignment="1">
      <alignment horizontal="center" vertical="center"/>
    </xf>
    <xf numFmtId="0" fontId="54" fillId="4" borderId="42" xfId="0" applyFont="1" applyFill="1" applyBorder="1" applyAlignment="1">
      <alignment horizontal="center" vertical="top" wrapText="1"/>
    </xf>
    <xf numFmtId="0" fontId="56" fillId="4" borderId="42" xfId="0" applyFont="1" applyFill="1" applyBorder="1" applyAlignment="1">
      <alignment horizontal="center" vertical="center"/>
    </xf>
    <xf numFmtId="0" fontId="54" fillId="10" borderId="56" xfId="0" applyFont="1" applyFill="1" applyBorder="1" applyAlignment="1">
      <alignment horizontal="center" vertical="top" wrapText="1"/>
    </xf>
    <xf numFmtId="0" fontId="56" fillId="10" borderId="56" xfId="0" applyFont="1" applyFill="1" applyBorder="1" applyAlignment="1">
      <alignment horizontal="center" vertical="center"/>
    </xf>
    <xf numFmtId="0" fontId="54" fillId="8" borderId="70" xfId="0" applyFont="1" applyFill="1" applyBorder="1" applyAlignment="1">
      <alignment horizontal="center" vertical="top" wrapText="1"/>
    </xf>
    <xf numFmtId="0" fontId="56" fillId="8" borderId="70" xfId="0" applyFont="1" applyFill="1" applyBorder="1" applyAlignment="1">
      <alignment horizontal="center" vertical="center"/>
    </xf>
    <xf numFmtId="0" fontId="54" fillId="14" borderId="104" xfId="0" applyFont="1" applyFill="1" applyBorder="1" applyAlignment="1">
      <alignment horizontal="center" vertical="top" wrapText="1"/>
    </xf>
    <xf numFmtId="0" fontId="4" fillId="10" borderId="0" xfId="0" applyFont="1" applyFill="1" applyAlignment="1">
      <alignment horizontal="center"/>
    </xf>
    <xf numFmtId="0" fontId="64" fillId="10" borderId="0" xfId="0" applyFont="1" applyFill="1" applyAlignment="1">
      <alignment horizontal="center" vertical="center"/>
    </xf>
    <xf numFmtId="0" fontId="4" fillId="15" borderId="0" xfId="0" applyFont="1" applyFill="1" applyAlignment="1">
      <alignment horizontal="center"/>
    </xf>
    <xf numFmtId="0" fontId="19" fillId="2" borderId="181" xfId="0" applyFont="1" applyFill="1" applyBorder="1" applyAlignment="1" applyProtection="1">
      <alignment horizontal="left" vertical="center" wrapText="1"/>
      <protection locked="0"/>
    </xf>
    <xf numFmtId="0" fontId="19" fillId="2" borderId="182" xfId="0" applyFont="1" applyFill="1" applyBorder="1" applyAlignment="1" applyProtection="1">
      <alignment horizontal="left" vertical="center" wrapText="1"/>
      <protection locked="0"/>
    </xf>
    <xf numFmtId="0" fontId="19" fillId="2" borderId="183" xfId="0" applyFont="1" applyFill="1" applyBorder="1" applyAlignment="1" applyProtection="1">
      <alignment horizontal="left" vertical="center" wrapText="1"/>
      <protection locked="0"/>
    </xf>
    <xf numFmtId="0" fontId="49" fillId="13" borderId="0" xfId="1" applyFont="1" applyFill="1" applyAlignment="1">
      <alignment horizontal="center" vertical="center"/>
    </xf>
    <xf numFmtId="0" fontId="4" fillId="12" borderId="0" xfId="0" applyFont="1" applyFill="1" applyAlignment="1">
      <alignment horizontal="center"/>
    </xf>
    <xf numFmtId="0" fontId="64" fillId="12" borderId="0" xfId="0" applyFont="1" applyFill="1" applyAlignment="1">
      <alignment horizontal="center" vertical="top"/>
    </xf>
    <xf numFmtId="0" fontId="64" fillId="15" borderId="0" xfId="0" applyFont="1" applyFill="1" applyAlignment="1">
      <alignment horizontal="center" vertical="top"/>
    </xf>
    <xf numFmtId="0" fontId="28" fillId="0" borderId="0" xfId="0" applyFont="1" applyAlignment="1">
      <alignment horizontal="center" vertical="top"/>
    </xf>
    <xf numFmtId="0" fontId="55" fillId="0" borderId="0" xfId="0" applyFont="1" applyFill="1" applyAlignment="1">
      <alignment horizontal="left" vertical="center"/>
    </xf>
    <xf numFmtId="0" fontId="14" fillId="0" borderId="0" xfId="0" applyFont="1" applyFill="1" applyAlignment="1">
      <alignment horizontal="left" vertical="top"/>
    </xf>
    <xf numFmtId="0" fontId="72" fillId="0" borderId="0" xfId="0" applyFont="1" applyFill="1" applyAlignment="1">
      <alignment horizontal="left" vertical="center"/>
    </xf>
    <xf numFmtId="0" fontId="2" fillId="0" borderId="186" xfId="0" applyFont="1" applyBorder="1" applyAlignment="1">
      <alignment horizontal="center" vertical="center"/>
    </xf>
    <xf numFmtId="0" fontId="17" fillId="0" borderId="9" xfId="0" applyFont="1" applyFill="1" applyBorder="1" applyAlignment="1" applyProtection="1">
      <alignment horizontal="center" vertical="center" wrapText="1"/>
      <protection locked="0"/>
    </xf>
    <xf numFmtId="0" fontId="12" fillId="0" borderId="0" xfId="0" applyFont="1" applyFill="1" applyAlignment="1">
      <alignment horizontal="left"/>
    </xf>
    <xf numFmtId="0" fontId="45" fillId="0" borderId="0" xfId="0" applyFont="1" applyFill="1" applyAlignment="1">
      <alignment horizontal="left" vertical="center"/>
    </xf>
    <xf numFmtId="0" fontId="67" fillId="0" borderId="0" xfId="0" applyFont="1" applyBorder="1" applyAlignment="1">
      <alignment horizontal="center"/>
    </xf>
    <xf numFmtId="0" fontId="2" fillId="0" borderId="185" xfId="0" applyFont="1" applyBorder="1" applyAlignment="1">
      <alignment horizontal="center" vertical="center"/>
    </xf>
    <xf numFmtId="0" fontId="6" fillId="3" borderId="90" xfId="0" applyFont="1" applyFill="1" applyBorder="1" applyAlignment="1" applyProtection="1">
      <alignment horizontal="center"/>
      <protection locked="0"/>
    </xf>
    <xf numFmtId="0" fontId="6" fillId="3" borderId="91" xfId="0" applyFont="1" applyFill="1" applyBorder="1" applyAlignment="1" applyProtection="1">
      <alignment horizontal="center"/>
      <protection locked="0"/>
    </xf>
    <xf numFmtId="0" fontId="6" fillId="3" borderId="92" xfId="0" applyFont="1" applyFill="1" applyBorder="1" applyAlignment="1" applyProtection="1">
      <alignment horizontal="center"/>
      <protection locked="0"/>
    </xf>
    <xf numFmtId="0" fontId="6" fillId="3" borderId="94" xfId="0" applyFont="1" applyFill="1" applyBorder="1" applyAlignment="1" applyProtection="1">
      <alignment horizontal="center"/>
      <protection locked="0"/>
    </xf>
    <xf numFmtId="0" fontId="6" fillId="3" borderId="87" xfId="0" applyFont="1" applyFill="1" applyBorder="1" applyAlignment="1" applyProtection="1">
      <alignment horizontal="center"/>
      <protection locked="0"/>
    </xf>
    <xf numFmtId="0" fontId="6" fillId="3" borderId="89" xfId="0" applyFont="1" applyFill="1" applyBorder="1" applyAlignment="1" applyProtection="1">
      <alignment horizontal="center"/>
      <protection locked="0"/>
    </xf>
    <xf numFmtId="0" fontId="6" fillId="3" borderId="76" xfId="0" applyFont="1" applyFill="1" applyBorder="1" applyAlignment="1" applyProtection="1">
      <alignment horizontal="center"/>
      <protection locked="0"/>
    </xf>
    <xf numFmtId="0" fontId="6" fillId="3" borderId="77" xfId="0" applyFont="1" applyFill="1" applyBorder="1" applyAlignment="1" applyProtection="1">
      <alignment horizontal="center"/>
      <protection locked="0"/>
    </xf>
    <xf numFmtId="0" fontId="6" fillId="3" borderId="78" xfId="0" applyFont="1" applyFill="1" applyBorder="1" applyAlignment="1" applyProtection="1">
      <alignment horizontal="center"/>
      <protection locked="0"/>
    </xf>
    <xf numFmtId="0" fontId="6" fillId="3" borderId="80" xfId="0" applyFont="1" applyFill="1" applyBorder="1" applyAlignment="1" applyProtection="1">
      <alignment horizontal="center"/>
      <protection locked="0"/>
    </xf>
    <xf numFmtId="0" fontId="6" fillId="3" borderId="73" xfId="0" applyFont="1" applyFill="1" applyBorder="1" applyAlignment="1" applyProtection="1">
      <alignment horizontal="center"/>
      <protection locked="0"/>
    </xf>
    <xf numFmtId="0" fontId="6" fillId="3" borderId="75" xfId="0" applyFont="1" applyFill="1" applyBorder="1" applyAlignment="1" applyProtection="1">
      <alignment horizontal="center"/>
      <protection locked="0"/>
    </xf>
    <xf numFmtId="0" fontId="6" fillId="3" borderId="62" xfId="0" applyFont="1" applyFill="1" applyBorder="1" applyAlignment="1" applyProtection="1">
      <alignment horizontal="center"/>
      <protection locked="0"/>
    </xf>
    <xf numFmtId="0" fontId="6" fillId="3" borderId="63" xfId="0" applyFont="1" applyFill="1" applyBorder="1" applyAlignment="1" applyProtection="1">
      <alignment horizontal="center"/>
      <protection locked="0"/>
    </xf>
    <xf numFmtId="0" fontId="6" fillId="3" borderId="64" xfId="0" applyFont="1" applyFill="1" applyBorder="1" applyAlignment="1" applyProtection="1">
      <alignment horizontal="center"/>
      <protection locked="0"/>
    </xf>
    <xf numFmtId="0" fontId="6" fillId="3" borderId="66" xfId="0" applyFont="1" applyFill="1" applyBorder="1" applyAlignment="1" applyProtection="1">
      <alignment horizontal="center"/>
      <protection locked="0"/>
    </xf>
    <xf numFmtId="0" fontId="6" fillId="3" borderId="59" xfId="0" applyFont="1" applyFill="1" applyBorder="1" applyAlignment="1" applyProtection="1">
      <alignment horizontal="center"/>
      <protection locked="0"/>
    </xf>
    <xf numFmtId="0" fontId="6" fillId="3" borderId="61" xfId="0" applyFont="1" applyFill="1" applyBorder="1" applyAlignment="1" applyProtection="1">
      <alignment horizontal="center"/>
      <protection locked="0"/>
    </xf>
    <xf numFmtId="0" fontId="6" fillId="3" borderId="48" xfId="0" applyFont="1" applyFill="1" applyBorder="1" applyAlignment="1" applyProtection="1">
      <alignment horizontal="center"/>
      <protection locked="0"/>
    </xf>
    <xf numFmtId="0" fontId="6" fillId="3" borderId="49" xfId="0" applyFont="1" applyFill="1" applyBorder="1" applyAlignment="1" applyProtection="1">
      <alignment horizontal="center"/>
      <protection locked="0"/>
    </xf>
    <xf numFmtId="0" fontId="6" fillId="3" borderId="50" xfId="0" applyFont="1" applyFill="1" applyBorder="1" applyAlignment="1" applyProtection="1">
      <alignment horizontal="center"/>
      <protection locked="0"/>
    </xf>
    <xf numFmtId="0" fontId="6" fillId="3" borderId="52" xfId="0" applyFont="1" applyFill="1" applyBorder="1" applyAlignment="1" applyProtection="1">
      <alignment horizontal="center"/>
      <protection locked="0"/>
    </xf>
    <xf numFmtId="0" fontId="6" fillId="3" borderId="33" xfId="0" applyFont="1" applyFill="1" applyBorder="1" applyAlignment="1" applyProtection="1">
      <alignment horizontal="center"/>
      <protection locked="0"/>
    </xf>
    <xf numFmtId="0" fontId="6" fillId="3" borderId="35" xfId="0" applyFont="1" applyFill="1" applyBorder="1" applyAlignment="1" applyProtection="1">
      <alignment horizontal="center"/>
      <protection locked="0"/>
    </xf>
    <xf numFmtId="0" fontId="6" fillId="3" borderId="36" xfId="0" applyFont="1" applyFill="1" applyBorder="1" applyAlignment="1" applyProtection="1">
      <alignment horizontal="center"/>
      <protection locked="0"/>
    </xf>
    <xf numFmtId="0" fontId="6" fillId="3" borderId="38" xfId="0" applyFont="1" applyFill="1" applyBorder="1" applyAlignment="1" applyProtection="1">
      <alignment horizontal="center"/>
      <protection locked="0"/>
    </xf>
    <xf numFmtId="0" fontId="48" fillId="9" borderId="82" xfId="0" applyFont="1" applyFill="1" applyBorder="1" applyAlignment="1">
      <alignment horizontal="center" vertical="center" wrapText="1"/>
    </xf>
    <xf numFmtId="0" fontId="48" fillId="9" borderId="84" xfId="0" applyFont="1" applyFill="1" applyBorder="1" applyAlignment="1">
      <alignment horizontal="center" vertical="center" wrapText="1"/>
    </xf>
    <xf numFmtId="0" fontId="7" fillId="9" borderId="81" xfId="0" applyFont="1" applyFill="1" applyBorder="1" applyAlignment="1">
      <alignment horizontal="center" vertical="center"/>
    </xf>
    <xf numFmtId="0" fontId="7" fillId="9" borderId="83" xfId="0" applyFont="1" applyFill="1" applyBorder="1" applyAlignment="1">
      <alignment horizontal="center" vertical="center"/>
    </xf>
    <xf numFmtId="0" fontId="6" fillId="2" borderId="173" xfId="0" applyFont="1" applyFill="1" applyBorder="1" applyAlignment="1" applyProtection="1">
      <alignment horizontal="center" vertical="center" wrapText="1"/>
      <protection locked="0"/>
    </xf>
    <xf numFmtId="0" fontId="6" fillId="2" borderId="174" xfId="0" applyFont="1" applyFill="1" applyBorder="1" applyAlignment="1" applyProtection="1">
      <alignment horizontal="center" vertical="center" wrapText="1"/>
      <protection locked="0"/>
    </xf>
    <xf numFmtId="0" fontId="29" fillId="3" borderId="30" xfId="1" applyFont="1" applyFill="1" applyBorder="1" applyAlignment="1" applyProtection="1">
      <alignment horizontal="center"/>
      <protection locked="0"/>
    </xf>
    <xf numFmtId="0" fontId="29" fillId="3" borderId="32" xfId="1" applyFont="1" applyFill="1" applyBorder="1" applyAlignment="1" applyProtection="1">
      <alignment horizontal="center"/>
      <protection locked="0"/>
    </xf>
    <xf numFmtId="0" fontId="6" fillId="2" borderId="175" xfId="0" applyFont="1" applyFill="1" applyBorder="1" applyAlignment="1" applyProtection="1">
      <alignment horizontal="center" vertical="center" wrapText="1"/>
      <protection locked="0"/>
    </xf>
    <xf numFmtId="0" fontId="6" fillId="2" borderId="177" xfId="0" applyFont="1" applyFill="1" applyBorder="1" applyAlignment="1" applyProtection="1">
      <alignment horizontal="center" vertical="center" wrapText="1"/>
      <protection locked="0"/>
    </xf>
    <xf numFmtId="0" fontId="66" fillId="0" borderId="0" xfId="0" applyFont="1" applyFill="1" applyAlignment="1">
      <alignment horizontal="left"/>
    </xf>
    <xf numFmtId="0" fontId="6" fillId="3" borderId="170" xfId="0" applyFont="1" applyFill="1" applyBorder="1" applyAlignment="1" applyProtection="1">
      <alignment horizontal="left" vertical="center" wrapText="1"/>
      <protection locked="0"/>
    </xf>
    <xf numFmtId="0" fontId="6" fillId="3" borderId="172" xfId="0" applyFont="1" applyFill="1" applyBorder="1" applyAlignment="1" applyProtection="1">
      <alignment horizontal="left" vertical="center" wrapText="1"/>
      <protection locked="0"/>
    </xf>
    <xf numFmtId="0" fontId="60" fillId="0" borderId="55"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42" xfId="0" applyFont="1" applyFill="1" applyBorder="1" applyAlignment="1">
      <alignment horizontal="left" vertical="center" wrapText="1"/>
    </xf>
    <xf numFmtId="0" fontId="6" fillId="3" borderId="45" xfId="0" applyFont="1" applyFill="1" applyBorder="1" applyAlignment="1" applyProtection="1">
      <alignment horizontal="center"/>
      <protection locked="0"/>
    </xf>
    <xf numFmtId="0" fontId="6" fillId="3" borderId="47" xfId="0" applyFont="1" applyFill="1" applyBorder="1" applyAlignment="1" applyProtection="1">
      <alignment horizontal="center"/>
      <protection locked="0"/>
    </xf>
    <xf numFmtId="0" fontId="6" fillId="2" borderId="179" xfId="0" applyFont="1" applyFill="1" applyBorder="1" applyAlignment="1" applyProtection="1">
      <alignment horizontal="left" vertical="center" wrapText="1"/>
      <protection locked="0"/>
    </xf>
    <xf numFmtId="0" fontId="6" fillId="2" borderId="180" xfId="0" applyFont="1" applyFill="1" applyBorder="1" applyAlignment="1" applyProtection="1">
      <alignment horizontal="left" vertical="center" wrapText="1"/>
      <protection locked="0"/>
    </xf>
    <xf numFmtId="0" fontId="17" fillId="0" borderId="0" xfId="0" applyFont="1" applyAlignment="1">
      <alignment horizontal="center" vertical="center"/>
    </xf>
    <xf numFmtId="0" fontId="39" fillId="0" borderId="0" xfId="0" applyFont="1" applyAlignment="1">
      <alignment horizontal="center"/>
    </xf>
    <xf numFmtId="0" fontId="17" fillId="0" borderId="0" xfId="0" applyFont="1" applyAlignment="1">
      <alignment horizontal="right" vertical="center"/>
    </xf>
    <xf numFmtId="0" fontId="58" fillId="0" borderId="83"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7" fillId="6" borderId="21" xfId="0" applyFont="1" applyFill="1" applyBorder="1" applyAlignment="1">
      <alignment horizontal="center" vertical="center"/>
    </xf>
    <xf numFmtId="0" fontId="7" fillId="6" borderId="1" xfId="0" applyFont="1" applyFill="1" applyBorder="1" applyAlignment="1">
      <alignment horizontal="center" vertical="center"/>
    </xf>
    <xf numFmtId="0" fontId="48" fillId="6" borderId="22" xfId="0" applyFont="1" applyFill="1" applyBorder="1" applyAlignment="1">
      <alignment horizontal="center" vertical="center" wrapText="1"/>
    </xf>
    <xf numFmtId="0" fontId="48" fillId="6" borderId="2" xfId="0" applyFont="1" applyFill="1" applyBorder="1" applyAlignment="1">
      <alignment horizontal="center" vertical="center" wrapText="1"/>
    </xf>
    <xf numFmtId="0" fontId="48" fillId="5" borderId="25"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7" fillId="5" borderId="24" xfId="0" applyFont="1" applyFill="1" applyBorder="1" applyAlignment="1">
      <alignment horizontal="center" vertical="center"/>
    </xf>
    <xf numFmtId="0" fontId="7" fillId="5" borderId="26"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48" fillId="4" borderId="40" xfId="0" applyFont="1" applyFill="1" applyBorder="1" applyAlignment="1">
      <alignment horizontal="left" vertical="center" wrapText="1"/>
    </xf>
    <xf numFmtId="0" fontId="48" fillId="4" borderId="42" xfId="0" applyFont="1" applyFill="1" applyBorder="1" applyAlignment="1">
      <alignment horizontal="left" vertical="center" wrapText="1"/>
    </xf>
    <xf numFmtId="0" fontId="48" fillId="7" borderId="54" xfId="0" applyFont="1" applyFill="1" applyBorder="1" applyAlignment="1">
      <alignment horizontal="center" vertical="center" wrapText="1"/>
    </xf>
    <xf numFmtId="0" fontId="48" fillId="7" borderId="56" xfId="0" applyFont="1" applyFill="1" applyBorder="1" applyAlignment="1">
      <alignment horizontal="center" vertical="center" wrapText="1"/>
    </xf>
    <xf numFmtId="0" fontId="7" fillId="7" borderId="53" xfId="0" applyFont="1" applyFill="1" applyBorder="1" applyAlignment="1">
      <alignment horizontal="center" vertical="center"/>
    </xf>
    <xf numFmtId="0" fontId="7" fillId="7" borderId="55" xfId="0" applyFont="1" applyFill="1" applyBorder="1" applyAlignment="1">
      <alignment horizontal="center" vertical="center"/>
    </xf>
    <xf numFmtId="0" fontId="65" fillId="0" borderId="0" xfId="0" applyFont="1" applyFill="1" applyAlignment="1">
      <alignment horizontal="left"/>
    </xf>
    <xf numFmtId="0" fontId="48" fillId="8" borderId="68" xfId="0" applyFont="1" applyFill="1" applyBorder="1" applyAlignment="1">
      <alignment horizontal="center" vertical="center" wrapText="1"/>
    </xf>
    <xf numFmtId="0" fontId="48" fillId="8" borderId="70"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9" xfId="0" applyFont="1" applyFill="1" applyBorder="1" applyAlignment="1">
      <alignment horizontal="center" vertical="center"/>
    </xf>
    <xf numFmtId="0" fontId="59" fillId="0" borderId="69"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 fillId="11" borderId="9" xfId="0" applyFont="1" applyFill="1" applyBorder="1" applyAlignment="1">
      <alignment horizontal="center"/>
    </xf>
    <xf numFmtId="0" fontId="6" fillId="0" borderId="0" xfId="0" applyFont="1" applyAlignment="1">
      <alignment horizontal="center"/>
    </xf>
  </cellXfs>
  <cellStyles count="3">
    <cellStyle name="Comma" xfId="2" builtinId="3"/>
    <cellStyle name="Hyperlink" xfId="1" builtinId="8"/>
    <cellStyle name="Normal" xfId="0" builtinId="0"/>
  </cellStyles>
  <dxfs count="21">
    <dxf>
      <fill>
        <patternFill>
          <bgColor theme="1" tint="0.499984740745262"/>
        </patternFill>
      </fill>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b val="0"/>
        <i/>
        <color theme="0" tint="-0.499984740745262"/>
      </font>
    </dxf>
    <dxf>
      <font>
        <color theme="0"/>
      </font>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dxf>
    <dxf>
      <font>
        <color theme="0"/>
      </font>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b/>
        <i val="0"/>
        <color theme="0"/>
      </font>
      <fill>
        <patternFill>
          <bgColor theme="0" tint="-0.499984740745262"/>
        </patternFill>
      </fill>
    </dxf>
    <dxf>
      <font>
        <b/>
        <i val="0"/>
        <color theme="0"/>
      </font>
      <fill>
        <patternFill>
          <bgColor rgb="FFFF0000"/>
        </patternFill>
      </fill>
    </dxf>
    <dxf>
      <font>
        <b/>
        <i val="0"/>
        <color theme="0"/>
      </font>
      <fill>
        <patternFill>
          <bgColor theme="7"/>
        </patternFill>
      </fill>
    </dxf>
    <dxf>
      <font>
        <b/>
        <i val="0"/>
        <color theme="0"/>
      </font>
      <fill>
        <patternFill>
          <bgColor theme="9"/>
        </patternFill>
      </fill>
    </dxf>
    <dxf>
      <fill>
        <patternFill>
          <fgColor auto="1"/>
          <bgColor theme="9"/>
        </patternFill>
      </fill>
    </dxf>
    <dxf>
      <fill>
        <patternFill>
          <bgColor theme="7"/>
        </patternFill>
      </fill>
    </dxf>
    <dxf>
      <fill>
        <patternFill>
          <bgColor rgb="FFFF0000"/>
        </patternFill>
      </fill>
    </dxf>
    <dxf>
      <fill>
        <patternFill>
          <bgColor theme="0" tint="-0.34998626667073579"/>
        </patternFill>
      </fill>
    </dxf>
    <dxf>
      <font>
        <color theme="0"/>
      </font>
      <fill>
        <patternFill>
          <bgColor theme="0"/>
        </patternFill>
      </fill>
    </dxf>
    <dxf>
      <font>
        <color theme="0"/>
      </font>
      <fill>
        <patternFill>
          <bgColor theme="0"/>
        </patternFill>
      </fill>
    </dxf>
    <dxf>
      <font>
        <color rgb="FF00B050"/>
      </font>
    </dxf>
    <dxf>
      <fill>
        <patternFill patternType="lightUp">
          <fgColor theme="0" tint="-0.14996795556505021"/>
        </patternFill>
      </fill>
    </dxf>
  </dxfs>
  <tableStyles count="0" defaultTableStyle="TableStyleMedium2" defaultPivotStyle="PivotStyleLight16"/>
  <colors>
    <mruColors>
      <color rgb="FF4472C4"/>
      <color rgb="FF6666FF"/>
      <color rgb="FF339966"/>
      <color rgb="FF0099CC"/>
      <color rgb="FFFF9933"/>
      <color rgb="FFFF6699"/>
      <color rgb="FFFFAB53"/>
      <color rgb="FFFFFFF0"/>
      <color rgb="FFFFFFFF"/>
      <color rgb="FFFFF5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3266621</xdr:colOff>
      <xdr:row>2</xdr:row>
      <xdr:rowOff>78014</xdr:rowOff>
    </xdr:from>
    <xdr:to>
      <xdr:col>5</xdr:col>
      <xdr:colOff>50750</xdr:colOff>
      <xdr:row>4</xdr:row>
      <xdr:rowOff>182500</xdr:rowOff>
    </xdr:to>
    <xdr:pic>
      <xdr:nvPicPr>
        <xdr:cNvPr id="13" name="Picture 12">
          <a:extLst>
            <a:ext uri="{FF2B5EF4-FFF2-40B4-BE49-F238E27FC236}">
              <a16:creationId xmlns:a16="http://schemas.microsoft.com/office/drawing/2014/main" id="{EE2EE598-9619-4C41-9EE5-82D3C7F946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8335" y="513443"/>
          <a:ext cx="1292629" cy="630628"/>
        </a:xfrm>
        <a:prstGeom prst="rect">
          <a:avLst/>
        </a:prstGeom>
      </xdr:spPr>
    </xdr:pic>
    <xdr:clientData/>
  </xdr:twoCellAnchor>
  <xdr:twoCellAnchor editAs="oneCell">
    <xdr:from>
      <xdr:col>4</xdr:col>
      <xdr:colOff>1803401</xdr:colOff>
      <xdr:row>2</xdr:row>
      <xdr:rowOff>22907</xdr:rowOff>
    </xdr:from>
    <xdr:to>
      <xdr:col>4</xdr:col>
      <xdr:colOff>3175001</xdr:colOff>
      <xdr:row>4</xdr:row>
      <xdr:rowOff>119081</xdr:rowOff>
    </xdr:to>
    <xdr:pic>
      <xdr:nvPicPr>
        <xdr:cNvPr id="14" name="Picture 13">
          <a:extLst>
            <a:ext uri="{FF2B5EF4-FFF2-40B4-BE49-F238E27FC236}">
              <a16:creationId xmlns:a16="http://schemas.microsoft.com/office/drawing/2014/main" id="{F9E0F51B-59F5-564E-B8B9-79C82A3319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5115" y="458336"/>
          <a:ext cx="1371600" cy="622316"/>
        </a:xfrm>
        <a:prstGeom prst="rect">
          <a:avLst/>
        </a:prstGeom>
      </xdr:spPr>
    </xdr:pic>
    <xdr:clientData/>
  </xdr:twoCellAnchor>
  <xdr:twoCellAnchor editAs="oneCell">
    <xdr:from>
      <xdr:col>4</xdr:col>
      <xdr:colOff>52917</xdr:colOff>
      <xdr:row>2</xdr:row>
      <xdr:rowOff>88293</xdr:rowOff>
    </xdr:from>
    <xdr:to>
      <xdr:col>4</xdr:col>
      <xdr:colOff>1672166</xdr:colOff>
      <xdr:row>4</xdr:row>
      <xdr:rowOff>57555</xdr:rowOff>
    </xdr:to>
    <xdr:pic>
      <xdr:nvPicPr>
        <xdr:cNvPr id="15" name="Picture 14">
          <a:extLst>
            <a:ext uri="{FF2B5EF4-FFF2-40B4-BE49-F238E27FC236}">
              <a16:creationId xmlns:a16="http://schemas.microsoft.com/office/drawing/2014/main" id="{E6ED1733-5124-6249-8A08-31CB187FED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39584" y="511626"/>
          <a:ext cx="1619249" cy="509012"/>
        </a:xfrm>
        <a:prstGeom prst="rect">
          <a:avLst/>
        </a:prstGeom>
      </xdr:spPr>
    </xdr:pic>
    <xdr:clientData/>
  </xdr:twoCellAnchor>
  <xdr:twoCellAnchor>
    <xdr:from>
      <xdr:col>6</xdr:col>
      <xdr:colOff>0</xdr:colOff>
      <xdr:row>5</xdr:row>
      <xdr:rowOff>21165</xdr:rowOff>
    </xdr:from>
    <xdr:to>
      <xdr:col>7</xdr:col>
      <xdr:colOff>0</xdr:colOff>
      <xdr:row>141</xdr:row>
      <xdr:rowOff>0</xdr:rowOff>
    </xdr:to>
    <xdr:sp macro="[0]!goStage0" textlink="">
      <xdr:nvSpPr>
        <xdr:cNvPr id="16" name="Rectangle 15">
          <a:extLst>
            <a:ext uri="{FF2B5EF4-FFF2-40B4-BE49-F238E27FC236}">
              <a16:creationId xmlns:a16="http://schemas.microsoft.com/office/drawing/2014/main" id="{FEBA3643-F5F1-4D0F-B06F-41C9D185F274}"/>
            </a:ext>
          </a:extLst>
        </xdr:cNvPr>
        <xdr:cNvSpPr/>
      </xdr:nvSpPr>
      <xdr:spPr>
        <a:xfrm>
          <a:off x="7874000" y="1202265"/>
          <a:ext cx="673100" cy="20087898"/>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4</xdr:row>
      <xdr:rowOff>201083</xdr:rowOff>
    </xdr:from>
    <xdr:to>
      <xdr:col>8</xdr:col>
      <xdr:colOff>0</xdr:colOff>
      <xdr:row>141</xdr:row>
      <xdr:rowOff>5414</xdr:rowOff>
    </xdr:to>
    <xdr:sp macro="[0]!goStage1" textlink="">
      <xdr:nvSpPr>
        <xdr:cNvPr id="17" name="Rectangle 16">
          <a:extLst>
            <a:ext uri="{FF2B5EF4-FFF2-40B4-BE49-F238E27FC236}">
              <a16:creationId xmlns:a16="http://schemas.microsoft.com/office/drawing/2014/main" id="{92960E55-3228-45F1-8696-B8A01AD0A1D0}"/>
            </a:ext>
          </a:extLst>
        </xdr:cNvPr>
        <xdr:cNvSpPr/>
      </xdr:nvSpPr>
      <xdr:spPr>
        <a:xfrm>
          <a:off x="8547100" y="1166283"/>
          <a:ext cx="673100" cy="20137031"/>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673099</xdr:colOff>
      <xdr:row>4</xdr:row>
      <xdr:rowOff>215899</xdr:rowOff>
    </xdr:from>
    <xdr:to>
      <xdr:col>9</xdr:col>
      <xdr:colOff>0</xdr:colOff>
      <xdr:row>141</xdr:row>
      <xdr:rowOff>0</xdr:rowOff>
    </xdr:to>
    <xdr:sp macro="[0]!goStage2" textlink="">
      <xdr:nvSpPr>
        <xdr:cNvPr id="18" name="Rectangle 17">
          <a:extLst>
            <a:ext uri="{FF2B5EF4-FFF2-40B4-BE49-F238E27FC236}">
              <a16:creationId xmlns:a16="http://schemas.microsoft.com/office/drawing/2014/main" id="{31427118-1C4E-4567-B339-90C2E8E22988}"/>
            </a:ext>
          </a:extLst>
        </xdr:cNvPr>
        <xdr:cNvSpPr/>
      </xdr:nvSpPr>
      <xdr:spPr>
        <a:xfrm>
          <a:off x="9220199" y="1181099"/>
          <a:ext cx="673101" cy="20116801"/>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5</xdr:row>
      <xdr:rowOff>76200</xdr:rowOff>
    </xdr:from>
    <xdr:to>
      <xdr:col>10</xdr:col>
      <xdr:colOff>0</xdr:colOff>
      <xdr:row>141</xdr:row>
      <xdr:rowOff>0</xdr:rowOff>
    </xdr:to>
    <xdr:sp macro="[0]!goStage3" textlink="">
      <xdr:nvSpPr>
        <xdr:cNvPr id="19" name="Rectangle 18">
          <a:extLst>
            <a:ext uri="{FF2B5EF4-FFF2-40B4-BE49-F238E27FC236}">
              <a16:creationId xmlns:a16="http://schemas.microsoft.com/office/drawing/2014/main" id="{9DD0EC6F-4F7C-4782-BCB4-61D572E2D869}"/>
            </a:ext>
          </a:extLst>
        </xdr:cNvPr>
        <xdr:cNvSpPr/>
      </xdr:nvSpPr>
      <xdr:spPr>
        <a:xfrm>
          <a:off x="9893300" y="1346200"/>
          <a:ext cx="673100" cy="14909800"/>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5</xdr:row>
      <xdr:rowOff>25400</xdr:rowOff>
    </xdr:from>
    <xdr:to>
      <xdr:col>11</xdr:col>
      <xdr:colOff>0</xdr:colOff>
      <xdr:row>141</xdr:row>
      <xdr:rowOff>0</xdr:rowOff>
    </xdr:to>
    <xdr:sp macro="[0]!goStage4" textlink="">
      <xdr:nvSpPr>
        <xdr:cNvPr id="20" name="Rectangle 19">
          <a:extLst>
            <a:ext uri="{FF2B5EF4-FFF2-40B4-BE49-F238E27FC236}">
              <a16:creationId xmlns:a16="http://schemas.microsoft.com/office/drawing/2014/main" id="{35CDBA6C-7552-4A7E-A5DC-485572595EE3}"/>
            </a:ext>
          </a:extLst>
        </xdr:cNvPr>
        <xdr:cNvSpPr/>
      </xdr:nvSpPr>
      <xdr:spPr>
        <a:xfrm>
          <a:off x="10566400" y="1295400"/>
          <a:ext cx="673100" cy="14960600"/>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4</xdr:row>
      <xdr:rowOff>215899</xdr:rowOff>
    </xdr:from>
    <xdr:to>
      <xdr:col>12</xdr:col>
      <xdr:colOff>1</xdr:colOff>
      <xdr:row>141</xdr:row>
      <xdr:rowOff>0</xdr:rowOff>
    </xdr:to>
    <xdr:sp macro="[0]!goStage5" textlink="">
      <xdr:nvSpPr>
        <xdr:cNvPr id="21" name="Rectangle 20">
          <a:extLst>
            <a:ext uri="{FF2B5EF4-FFF2-40B4-BE49-F238E27FC236}">
              <a16:creationId xmlns:a16="http://schemas.microsoft.com/office/drawing/2014/main" id="{83E33BA3-D6B8-4476-B2E9-660B37DEA002}"/>
            </a:ext>
          </a:extLst>
        </xdr:cNvPr>
        <xdr:cNvSpPr/>
      </xdr:nvSpPr>
      <xdr:spPr>
        <a:xfrm>
          <a:off x="11239500" y="1181099"/>
          <a:ext cx="673101" cy="20116801"/>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4</xdr:row>
      <xdr:rowOff>215899</xdr:rowOff>
    </xdr:from>
    <xdr:to>
      <xdr:col>13</xdr:col>
      <xdr:colOff>0</xdr:colOff>
      <xdr:row>141</xdr:row>
      <xdr:rowOff>0</xdr:rowOff>
    </xdr:to>
    <xdr:sp macro="[0]!goStage6" textlink="">
      <xdr:nvSpPr>
        <xdr:cNvPr id="22" name="Rectangle 21">
          <a:extLst>
            <a:ext uri="{FF2B5EF4-FFF2-40B4-BE49-F238E27FC236}">
              <a16:creationId xmlns:a16="http://schemas.microsoft.com/office/drawing/2014/main" id="{4AAC4773-D176-41E3-B2FB-C0BB2778D1F1}"/>
            </a:ext>
          </a:extLst>
        </xdr:cNvPr>
        <xdr:cNvSpPr/>
      </xdr:nvSpPr>
      <xdr:spPr>
        <a:xfrm>
          <a:off x="11912600" y="1181099"/>
          <a:ext cx="673100" cy="20116801"/>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xdr:row>
      <xdr:rowOff>215899</xdr:rowOff>
    </xdr:from>
    <xdr:to>
      <xdr:col>14</xdr:col>
      <xdr:colOff>0</xdr:colOff>
      <xdr:row>141</xdr:row>
      <xdr:rowOff>0</xdr:rowOff>
    </xdr:to>
    <xdr:sp macro="[0]!goStage7" textlink="">
      <xdr:nvSpPr>
        <xdr:cNvPr id="23" name="Rectangle 22">
          <a:extLst>
            <a:ext uri="{FF2B5EF4-FFF2-40B4-BE49-F238E27FC236}">
              <a16:creationId xmlns:a16="http://schemas.microsoft.com/office/drawing/2014/main" id="{E6108FCF-BD81-492C-B710-4E9D5D499D28}"/>
            </a:ext>
          </a:extLst>
        </xdr:cNvPr>
        <xdr:cNvSpPr/>
      </xdr:nvSpPr>
      <xdr:spPr>
        <a:xfrm>
          <a:off x="12585700" y="1181099"/>
          <a:ext cx="673100" cy="20116801"/>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2</xdr:row>
      <xdr:rowOff>0</xdr:rowOff>
    </xdr:from>
    <xdr:to>
      <xdr:col>14</xdr:col>
      <xdr:colOff>0</xdr:colOff>
      <xdr:row>4</xdr:row>
      <xdr:rowOff>0</xdr:rowOff>
    </xdr:to>
    <xdr:sp macro="[0]!setStageNext" textlink="">
      <xdr:nvSpPr>
        <xdr:cNvPr id="2" name="Rectangle 1">
          <a:extLst>
            <a:ext uri="{FF2B5EF4-FFF2-40B4-BE49-F238E27FC236}">
              <a16:creationId xmlns:a16="http://schemas.microsoft.com/office/drawing/2014/main" id="{E30504DA-A726-304D-B23F-D764D855AE26}"/>
            </a:ext>
          </a:extLst>
        </xdr:cNvPr>
        <xdr:cNvSpPr/>
      </xdr:nvSpPr>
      <xdr:spPr>
        <a:xfrm>
          <a:off x="11912600" y="431800"/>
          <a:ext cx="1346200" cy="533400"/>
        </a:xfrm>
        <a:prstGeom prst="rect">
          <a:avLst/>
        </a:prstGeom>
        <a:solidFill>
          <a:srgbClr val="4472C4">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0</xdr:colOff>
      <xdr:row>2</xdr:row>
      <xdr:rowOff>0</xdr:rowOff>
    </xdr:from>
    <xdr:to>
      <xdr:col>8</xdr:col>
      <xdr:colOff>0</xdr:colOff>
      <xdr:row>4</xdr:row>
      <xdr:rowOff>0</xdr:rowOff>
    </xdr:to>
    <xdr:sp macro="[0]!setStagePrev" textlink="">
      <xdr:nvSpPr>
        <xdr:cNvPr id="24" name="Rectangle 23">
          <a:extLst>
            <a:ext uri="{FF2B5EF4-FFF2-40B4-BE49-F238E27FC236}">
              <a16:creationId xmlns:a16="http://schemas.microsoft.com/office/drawing/2014/main" id="{9CE2A2F9-6F76-524F-B8A3-74FEDB5B6B7D}"/>
            </a:ext>
          </a:extLst>
        </xdr:cNvPr>
        <xdr:cNvSpPr/>
      </xdr:nvSpPr>
      <xdr:spPr>
        <a:xfrm>
          <a:off x="7874000" y="431800"/>
          <a:ext cx="1346200" cy="533400"/>
        </a:xfrm>
        <a:prstGeom prst="rect">
          <a:avLst/>
        </a:prstGeom>
        <a:solidFill>
          <a:srgbClr val="4472C4">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483204</xdr:colOff>
      <xdr:row>2</xdr:row>
      <xdr:rowOff>55107</xdr:rowOff>
    </xdr:from>
    <xdr:to>
      <xdr:col>11</xdr:col>
      <xdr:colOff>124833</xdr:colOff>
      <xdr:row>4</xdr:row>
      <xdr:rowOff>152335</xdr:rowOff>
    </xdr:to>
    <xdr:pic>
      <xdr:nvPicPr>
        <xdr:cNvPr id="13" name="Picture 12">
          <a:extLst>
            <a:ext uri="{FF2B5EF4-FFF2-40B4-BE49-F238E27FC236}">
              <a16:creationId xmlns:a16="http://schemas.microsoft.com/office/drawing/2014/main" id="{AD24260E-EDC2-6541-BB32-AC911CFC6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2704" y="486907"/>
          <a:ext cx="1292629" cy="630628"/>
        </a:xfrm>
        <a:prstGeom prst="rect">
          <a:avLst/>
        </a:prstGeom>
      </xdr:spPr>
    </xdr:pic>
    <xdr:clientData/>
  </xdr:twoCellAnchor>
  <xdr:twoCellAnchor editAs="oneCell">
    <xdr:from>
      <xdr:col>7</xdr:col>
      <xdr:colOff>670984</xdr:colOff>
      <xdr:row>2</xdr:row>
      <xdr:rowOff>0</xdr:rowOff>
    </xdr:from>
    <xdr:to>
      <xdr:col>9</xdr:col>
      <xdr:colOff>391584</xdr:colOff>
      <xdr:row>4</xdr:row>
      <xdr:rowOff>88916</xdr:rowOff>
    </xdr:to>
    <xdr:pic>
      <xdr:nvPicPr>
        <xdr:cNvPr id="14" name="Picture 13">
          <a:extLst>
            <a:ext uri="{FF2B5EF4-FFF2-40B4-BE49-F238E27FC236}">
              <a16:creationId xmlns:a16="http://schemas.microsoft.com/office/drawing/2014/main" id="{13E5940C-5459-4F4E-B3D7-3017856B43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49484" y="431800"/>
          <a:ext cx="1371600" cy="622316"/>
        </a:xfrm>
        <a:prstGeom prst="rect">
          <a:avLst/>
        </a:prstGeom>
      </xdr:spPr>
    </xdr:pic>
    <xdr:clientData/>
  </xdr:twoCellAnchor>
  <xdr:twoCellAnchor editAs="oneCell">
    <xdr:from>
      <xdr:col>5</xdr:col>
      <xdr:colOff>571500</xdr:colOff>
      <xdr:row>2</xdr:row>
      <xdr:rowOff>65386</xdr:rowOff>
    </xdr:from>
    <xdr:to>
      <xdr:col>7</xdr:col>
      <xdr:colOff>539749</xdr:colOff>
      <xdr:row>4</xdr:row>
      <xdr:rowOff>27390</xdr:rowOff>
    </xdr:to>
    <xdr:pic>
      <xdr:nvPicPr>
        <xdr:cNvPr id="15" name="Picture 14">
          <a:extLst>
            <a:ext uri="{FF2B5EF4-FFF2-40B4-BE49-F238E27FC236}">
              <a16:creationId xmlns:a16="http://schemas.microsoft.com/office/drawing/2014/main" id="{2F3097C4-5B43-CA41-8354-CAF98410C0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99000" y="497186"/>
          <a:ext cx="1619249" cy="4954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3594467</xdr:colOff>
      <xdr:row>2</xdr:row>
      <xdr:rowOff>145807</xdr:rowOff>
    </xdr:from>
    <xdr:to>
      <xdr:col>9</xdr:col>
      <xdr:colOff>35984</xdr:colOff>
      <xdr:row>5</xdr:row>
      <xdr:rowOff>147218</xdr:rowOff>
    </xdr:to>
    <xdr:pic>
      <xdr:nvPicPr>
        <xdr:cNvPr id="10" name="Picture 9">
          <a:extLst>
            <a:ext uri="{FF2B5EF4-FFF2-40B4-BE49-F238E27FC236}">
              <a16:creationId xmlns:a16="http://schemas.microsoft.com/office/drawing/2014/main" id="{CA9D48B1-D8E1-8143-AC89-DB6A900E30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4534" y="501407"/>
          <a:ext cx="1428383" cy="763411"/>
        </a:xfrm>
        <a:prstGeom prst="rect">
          <a:avLst/>
        </a:prstGeom>
      </xdr:spPr>
    </xdr:pic>
    <xdr:clientData/>
  </xdr:twoCellAnchor>
  <xdr:twoCellAnchor editAs="oneCell">
    <xdr:from>
      <xdr:col>5</xdr:col>
      <xdr:colOff>1831748</xdr:colOff>
      <xdr:row>2</xdr:row>
      <xdr:rowOff>114828</xdr:rowOff>
    </xdr:from>
    <xdr:to>
      <xdr:col>5</xdr:col>
      <xdr:colOff>3326605</xdr:colOff>
      <xdr:row>5</xdr:row>
      <xdr:rowOff>47499</xdr:rowOff>
    </xdr:to>
    <xdr:pic>
      <xdr:nvPicPr>
        <xdr:cNvPr id="11" name="Picture 10">
          <a:extLst>
            <a:ext uri="{FF2B5EF4-FFF2-40B4-BE49-F238E27FC236}">
              <a16:creationId xmlns:a16="http://schemas.microsoft.com/office/drawing/2014/main" id="{4D51121B-41A2-9E46-B35A-FAA933C33C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1815" y="470428"/>
          <a:ext cx="1494857" cy="694671"/>
        </a:xfrm>
        <a:prstGeom prst="rect">
          <a:avLst/>
        </a:prstGeom>
      </xdr:spPr>
    </xdr:pic>
    <xdr:clientData/>
  </xdr:twoCellAnchor>
  <xdr:twoCellAnchor editAs="oneCell">
    <xdr:from>
      <xdr:col>4</xdr:col>
      <xdr:colOff>294219</xdr:colOff>
      <xdr:row>2</xdr:row>
      <xdr:rowOff>209737</xdr:rowOff>
    </xdr:from>
    <xdr:to>
      <xdr:col>5</xdr:col>
      <xdr:colOff>1519237</xdr:colOff>
      <xdr:row>4</xdr:row>
      <xdr:rowOff>234880</xdr:rowOff>
    </xdr:to>
    <xdr:pic>
      <xdr:nvPicPr>
        <xdr:cNvPr id="12" name="Picture 11">
          <a:extLst>
            <a:ext uri="{FF2B5EF4-FFF2-40B4-BE49-F238E27FC236}">
              <a16:creationId xmlns:a16="http://schemas.microsoft.com/office/drawing/2014/main" id="{4222BE0A-6727-8D43-B2F1-5FF924305D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82486" y="565337"/>
          <a:ext cx="1656819" cy="533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chitecture.com/-/media/files/client-services/building-in-quality/riba-building-in-quality---guide-to-using-quality-tracke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architecture.com/-/media/files/client-services/building-in-quality/riba-building-in-quality---guide-to-using-quality-tracker.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architecture.com/-/media/files/client-services/building-in-quality/riba-building-in-quality---guide-to-using-quality-track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A659-D031-3C4E-A3B2-4A3316078086}">
  <sheetPr codeName="summary">
    <pageSetUpPr fitToPage="1"/>
  </sheetPr>
  <dimension ref="A1:N264"/>
  <sheetViews>
    <sheetView showGridLines="0" showRowColHeaders="0" tabSelected="1" topLeftCell="B1" zoomScaleNormal="100" workbookViewId="0">
      <pane ySplit="9" topLeftCell="A33" activePane="bottomLeft" state="frozen"/>
      <selection pane="bottomLeft" activeCell="G1" sqref="G1:H1"/>
    </sheetView>
  </sheetViews>
  <sheetFormatPr baseColWidth="10" defaultColWidth="10.83203125" defaultRowHeight="18" x14ac:dyDescent="0.2"/>
  <cols>
    <col min="1" max="1" width="5" style="1" hidden="1" customWidth="1"/>
    <col min="2" max="2" width="3.1640625" style="1" customWidth="1"/>
    <col min="3" max="3" width="29.6640625" style="1" customWidth="1"/>
    <col min="4" max="4" width="6.6640625" style="3" customWidth="1"/>
    <col min="5" max="5" width="59.1640625" style="4" bestFit="1" customWidth="1"/>
    <col min="6" max="6" width="4.6640625" style="1" customWidth="1"/>
    <col min="7" max="14" width="8.83203125" style="1" customWidth="1"/>
    <col min="15" max="15" width="3.1640625" style="1" customWidth="1"/>
    <col min="16" max="16384" width="10.83203125" style="1"/>
  </cols>
  <sheetData>
    <row r="1" spans="3:14" s="342" customFormat="1" ht="22" customHeight="1" x14ac:dyDescent="0.2">
      <c r="C1" s="341"/>
      <c r="D1" s="355"/>
      <c r="E1" s="341"/>
      <c r="G1" s="551" t="s">
        <v>245</v>
      </c>
      <c r="H1" s="551"/>
      <c r="I1" s="551" t="s">
        <v>246</v>
      </c>
      <c r="J1" s="551"/>
      <c r="K1" s="532"/>
      <c r="L1" s="532"/>
      <c r="M1" s="532"/>
      <c r="N1" s="532"/>
    </row>
    <row r="2" spans="3:14" s="4" customFormat="1" ht="12" customHeight="1" x14ac:dyDescent="0.2">
      <c r="C2" s="8"/>
      <c r="D2" s="356"/>
      <c r="E2" s="8"/>
    </row>
    <row r="3" spans="3:14" ht="21" customHeight="1" x14ac:dyDescent="0.2">
      <c r="C3" s="556" t="s">
        <v>134</v>
      </c>
      <c r="D3" s="556"/>
      <c r="E3" s="556"/>
      <c r="G3" s="552" t="s">
        <v>270</v>
      </c>
      <c r="H3" s="552"/>
      <c r="I3"/>
      <c r="J3" s="547" t="s">
        <v>272</v>
      </c>
      <c r="K3" s="547"/>
      <c r="L3"/>
      <c r="M3" s="545" t="s">
        <v>271</v>
      </c>
      <c r="N3" s="545"/>
    </row>
    <row r="4" spans="3:14" ht="21.75" customHeight="1" x14ac:dyDescent="0.2">
      <c r="C4" s="556"/>
      <c r="D4" s="556"/>
      <c r="E4" s="556"/>
      <c r="G4" s="553" t="str">
        <f>"&lt;&lt; Stage " &amp; ActiveStage-1</f>
        <v>&lt;&lt; Stage -1</v>
      </c>
      <c r="H4" s="553"/>
      <c r="I4"/>
      <c r="J4" s="554" t="str">
        <f>"Stage " &amp; ActiveStage</f>
        <v>Stage 0</v>
      </c>
      <c r="K4" s="554"/>
      <c r="L4"/>
      <c r="M4" s="546" t="str">
        <f>"Stage " &amp; ActiveStage+1 &amp; " &gt;&gt;"</f>
        <v>Stage 1 &gt;&gt;</v>
      </c>
      <c r="N4" s="546"/>
    </row>
    <row r="5" spans="3:14" ht="24" customHeight="1" x14ac:dyDescent="0.2">
      <c r="C5" s="557"/>
      <c r="D5" s="557"/>
      <c r="E5" s="557"/>
      <c r="J5" s="555" t="str">
        <f>INDEX(AnswerCompletion,1,ActiveStage+1)&amp;"/"&amp;VisibleIndicatorCount&amp; " answers"</f>
        <v>26/61 answers</v>
      </c>
      <c r="K5" s="555"/>
    </row>
    <row r="6" spans="3:14" ht="18" customHeight="1" x14ac:dyDescent="0.2">
      <c r="C6" s="486" t="s">
        <v>135</v>
      </c>
      <c r="D6" s="357"/>
      <c r="E6" s="9"/>
      <c r="G6" s="377" t="s">
        <v>125</v>
      </c>
      <c r="H6" s="377" t="s">
        <v>125</v>
      </c>
      <c r="I6" s="377" t="s">
        <v>125</v>
      </c>
      <c r="J6" s="377" t="s">
        <v>125</v>
      </c>
      <c r="K6" s="377" t="s">
        <v>125</v>
      </c>
      <c r="L6" s="377" t="s">
        <v>125</v>
      </c>
      <c r="M6" s="377" t="s">
        <v>125</v>
      </c>
      <c r="N6" s="377" t="s">
        <v>125</v>
      </c>
    </row>
    <row r="7" spans="3:14" ht="32" customHeight="1" x14ac:dyDescent="0.3">
      <c r="C7" s="548"/>
      <c r="D7" s="549"/>
      <c r="E7" s="550"/>
      <c r="G7" s="5">
        <v>0</v>
      </c>
      <c r="H7" s="5">
        <v>1</v>
      </c>
      <c r="I7" s="5">
        <v>2</v>
      </c>
      <c r="J7" s="5">
        <v>3</v>
      </c>
      <c r="K7" s="5">
        <v>4</v>
      </c>
      <c r="L7" s="5">
        <v>5</v>
      </c>
      <c r="M7" s="5">
        <v>6</v>
      </c>
      <c r="N7" s="5">
        <v>7</v>
      </c>
    </row>
    <row r="8" spans="3:14" ht="14" customHeight="1" x14ac:dyDescent="0.2">
      <c r="G8" s="7" t="str">
        <f t="shared" ref="G8:N8" si="0">IF(G7&lt;ActiveStage,"completed",IF(G7=ActiveStage,"active",""))</f>
        <v>active</v>
      </c>
      <c r="H8" s="7" t="str">
        <f t="shared" si="0"/>
        <v/>
      </c>
      <c r="I8" s="7" t="str">
        <f t="shared" si="0"/>
        <v/>
      </c>
      <c r="J8" s="7" t="str">
        <f t="shared" si="0"/>
        <v/>
      </c>
      <c r="K8" s="7" t="str">
        <f t="shared" si="0"/>
        <v/>
      </c>
      <c r="L8" s="7" t="str">
        <f t="shared" si="0"/>
        <v/>
      </c>
      <c r="M8" s="7" t="str">
        <f t="shared" si="0"/>
        <v/>
      </c>
      <c r="N8" s="7" t="str">
        <f t="shared" si="0"/>
        <v/>
      </c>
    </row>
    <row r="9" spans="3:14" ht="10" customHeight="1" x14ac:dyDescent="0.3">
      <c r="G9" s="5"/>
      <c r="H9" s="6"/>
      <c r="I9" s="6"/>
      <c r="J9" s="6"/>
      <c r="K9" s="6"/>
      <c r="L9" s="6"/>
      <c r="M9" s="6"/>
      <c r="N9" s="6"/>
    </row>
    <row r="10" spans="3:14" ht="18" customHeight="1" x14ac:dyDescent="0.2">
      <c r="G10" s="449"/>
      <c r="H10" s="449" t="s">
        <v>216</v>
      </c>
      <c r="I10" s="449"/>
      <c r="J10" s="449"/>
      <c r="K10" s="449"/>
      <c r="L10" s="449"/>
      <c r="M10" s="449"/>
      <c r="N10" s="449"/>
    </row>
    <row r="11" spans="3:14" s="2" customFormat="1" ht="16" customHeight="1" x14ac:dyDescent="0.2">
      <c r="C11" s="535" t="str">
        <f>Stage!C14</f>
        <v>A</v>
      </c>
      <c r="D11" s="368" t="str">
        <f>data!C10</f>
        <v>A1</v>
      </c>
      <c r="E11" s="369" t="str">
        <f>data!D10</f>
        <v>Land is in possession of commissioning client</v>
      </c>
      <c r="F11" s="92"/>
      <c r="G11" s="358" t="str">
        <f>IF(G$7&lt;=ActiveStage,IF(data!Y10,IF(data!I10&gt;0,INDEX(data!$E10:$H10,data!I10),""),"n/a"),"")</f>
        <v/>
      </c>
      <c r="H11" s="359" t="str">
        <f>IF(H$7&lt;=ActiveStage,IF(data!Z10,IF(data!J10&gt;0,INDEX(data!$E10:$H10,data!J10),""),"n/a"),"")</f>
        <v/>
      </c>
      <c r="I11" s="359" t="str">
        <f>IF(I$7&lt;=ActiveStage,IF(data!AA10,IF(data!K10&gt;0,INDEX(data!$E10:$H10,data!K10),""),"n/a"),"")</f>
        <v/>
      </c>
      <c r="J11" s="359" t="str">
        <f>IF(J$7&lt;=ActiveStage,IF(data!AB10,IF(data!L10&gt;0,INDEX(data!$E10:$H10,data!L10),""),"n/a"),"")</f>
        <v/>
      </c>
      <c r="K11" s="359" t="str">
        <f>IF(K$7&lt;=ActiveStage,IF(data!AC10,IF(data!M10&gt;0,INDEX(data!$E10:$H10,data!M10),""),"n/a"),"")</f>
        <v/>
      </c>
      <c r="L11" s="359" t="str">
        <f>IF(L$7&lt;=ActiveStage,IF(data!AD10,IF(data!N10&gt;0,INDEX(data!$E10:$H10,data!N10),""),"n/a"),"")</f>
        <v/>
      </c>
      <c r="M11" s="359" t="str">
        <f>IF(M$7&lt;=ActiveStage,IF(data!AE10,IF(data!O10&gt;0,INDEX(data!$E10:$H10,data!O10),""),"n/a"),"")</f>
        <v/>
      </c>
      <c r="N11" s="360" t="str">
        <f>IF(N$7&lt;=ActiveStage,IF(data!AF10,IF(data!P10&gt;0,INDEX(data!$E10:$H10,data!P10),""),"n/a"),"")</f>
        <v/>
      </c>
    </row>
    <row r="12" spans="3:14" s="2" customFormat="1" ht="16" customHeight="1" x14ac:dyDescent="0.2">
      <c r="C12" s="535"/>
      <c r="D12" s="370" t="str">
        <f>data!C11</f>
        <v>A2</v>
      </c>
      <c r="E12" s="371" t="str">
        <f>data!D11</f>
        <v>Client intends to deliver completed development</v>
      </c>
      <c r="F12" s="92"/>
      <c r="G12" s="361" t="str">
        <f>IF(G$7&lt;=ActiveStage,IF(data!Y11,IF(data!I11&gt;0,INDEX(data!$E11:$H11,data!I11),""),"n/a"),"")</f>
        <v/>
      </c>
      <c r="H12" s="345" t="str">
        <f>IF(H$7&lt;=ActiveStage,IF(data!Z11,IF(data!J11&gt;0,INDEX(data!$E11:$H11,data!J11),""),"n/a"),"")</f>
        <v/>
      </c>
      <c r="I12" s="345" t="str">
        <f>IF(I$7&lt;=ActiveStage,IF(data!AA11,IF(data!K11&gt;0,INDEX(data!$E11:$H11,data!K11),""),"n/a"),"")</f>
        <v/>
      </c>
      <c r="J12" s="345" t="str">
        <f>IF(J$7&lt;=ActiveStage,IF(data!AB11,IF(data!L11&gt;0,INDEX(data!$E11:$H11,data!L11),""),"n/a"),"")</f>
        <v/>
      </c>
      <c r="K12" s="345" t="str">
        <f>IF(K$7&lt;=ActiveStage,IF(data!AC11,IF(data!M11&gt;0,INDEX(data!$E11:$H11,data!M11),""),"n/a"),"")</f>
        <v/>
      </c>
      <c r="L12" s="345" t="str">
        <f>IF(L$7&lt;=ActiveStage,IF(data!AD11,IF(data!N11&gt;0,INDEX(data!$E11:$H11,data!N11),""),"n/a"),"")</f>
        <v/>
      </c>
      <c r="M12" s="345" t="str">
        <f>IF(M$7&lt;=ActiveStage,IF(data!AE11,IF(data!O11&gt;0,INDEX(data!$E11:$H11,data!O11),""),"n/a"),"")</f>
        <v/>
      </c>
      <c r="N12" s="362" t="str">
        <f>IF(N$7&lt;=ActiveStage,IF(data!AF11,IF(data!P11&gt;0,INDEX(data!$E11:$H11,data!P11),""),"n/a"),"")</f>
        <v/>
      </c>
    </row>
    <row r="13" spans="3:14" s="2" customFormat="1" ht="16" customHeight="1" x14ac:dyDescent="0.2">
      <c r="C13" s="535"/>
      <c r="D13" s="370" t="str">
        <f>data!C12</f>
        <v>A3</v>
      </c>
      <c r="E13" s="371" t="str">
        <f>data!D12</f>
        <v>Client intends to own and operate the completed building</v>
      </c>
      <c r="F13" s="92"/>
      <c r="G13" s="361" t="str">
        <f>IF(G$7&lt;=ActiveStage,IF(data!Y12,IF(data!I12&gt;0,INDEX(data!$E12:$H12,data!I12),""),"n/a"),"")</f>
        <v/>
      </c>
      <c r="H13" s="345" t="str">
        <f>IF(H$7&lt;=ActiveStage,IF(data!Z12,IF(data!J12&gt;0,INDEX(data!$E12:$H12,data!J12),""),"n/a"),"")</f>
        <v/>
      </c>
      <c r="I13" s="345" t="str">
        <f>IF(I$7&lt;=ActiveStage,IF(data!AA12,IF(data!K12&gt;0,INDEX(data!$E12:$H12,data!K12),""),"n/a"),"")</f>
        <v/>
      </c>
      <c r="J13" s="345" t="str">
        <f>IF(J$7&lt;=ActiveStage,IF(data!AB12,IF(data!L12&gt;0,INDEX(data!$E12:$H12,data!L12),""),"n/a"),"")</f>
        <v/>
      </c>
      <c r="K13" s="345" t="str">
        <f>IF(K$7&lt;=ActiveStage,IF(data!AC12,IF(data!M12&gt;0,INDEX(data!$E12:$H12,data!M12),""),"n/a"),"")</f>
        <v/>
      </c>
      <c r="L13" s="345" t="str">
        <f>IF(L$7&lt;=ActiveStage,IF(data!AD12,IF(data!N12&gt;0,INDEX(data!$E12:$H12,data!N12),""),"n/a"),"")</f>
        <v/>
      </c>
      <c r="M13" s="345" t="str">
        <f>IF(M$7&lt;=ActiveStage,IF(data!AE12,IF(data!O12&gt;0,INDEX(data!$E12:$H12,data!O12),""),"n/a"),"")</f>
        <v/>
      </c>
      <c r="N13" s="362" t="str">
        <f>IF(N$7&lt;=ActiveStage,IF(data!AF12,IF(data!P12&gt;0,INDEX(data!$E12:$H12,data!P12),""),"n/a"),"")</f>
        <v/>
      </c>
    </row>
    <row r="14" spans="3:14" s="2" customFormat="1" ht="16" customHeight="1" x14ac:dyDescent="0.2">
      <c r="C14" s="544" t="str">
        <f>Stage!D14</f>
        <v>Likelihood of Development Proceeding to Construction</v>
      </c>
      <c r="D14" s="370" t="str">
        <f>data!C13</f>
        <v>A4</v>
      </c>
      <c r="E14" s="371" t="str">
        <f>data!D13</f>
        <v>Clearly defined end users and target markets included in brief</v>
      </c>
      <c r="F14" s="92"/>
      <c r="G14" s="361" t="str">
        <f>IF(G$7&lt;=ActiveStage,IF(data!Y13,IF(data!I13&gt;0,INDEX(data!$E13:$H13,data!I13),""),"n/a"),"")</f>
        <v/>
      </c>
      <c r="H14" s="345" t="str">
        <f>IF(H$7&lt;=ActiveStage,IF(data!Z13,IF(data!J13&gt;0,INDEX(data!$E13:$H13,data!J13),""),"n/a"),"")</f>
        <v/>
      </c>
      <c r="I14" s="345" t="str">
        <f>IF(I$7&lt;=ActiveStage,IF(data!AA13,IF(data!K13&gt;0,INDEX(data!$E13:$H13,data!K13),""),"n/a"),"")</f>
        <v/>
      </c>
      <c r="J14" s="345" t="str">
        <f>IF(J$7&lt;=ActiveStage,IF(data!AB13,IF(data!L13&gt;0,INDEX(data!$E13:$H13,data!L13),""),"n/a"),"")</f>
        <v/>
      </c>
      <c r="K14" s="345" t="str">
        <f>IF(K$7&lt;=ActiveStage,IF(data!AC13,IF(data!M13&gt;0,INDEX(data!$E13:$H13,data!M13),""),"n/a"),"")</f>
        <v/>
      </c>
      <c r="L14" s="345" t="str">
        <f>IF(L$7&lt;=ActiveStage,IF(data!AD13,IF(data!N13&gt;0,INDEX(data!$E13:$H13,data!N13),""),"n/a"),"")</f>
        <v/>
      </c>
      <c r="M14" s="345" t="str">
        <f>IF(M$7&lt;=ActiveStage,IF(data!AE13,IF(data!O13&gt;0,INDEX(data!$E13:$H13,data!O13),""),"n/a"),"")</f>
        <v/>
      </c>
      <c r="N14" s="362" t="str">
        <f>IF(N$7&lt;=ActiveStage,IF(data!AF13,IF(data!P13&gt;0,INDEX(data!$E13:$H13,data!P13),""),"n/a"),"")</f>
        <v/>
      </c>
    </row>
    <row r="15" spans="3:14" s="2" customFormat="1" ht="16" customHeight="1" x14ac:dyDescent="0.2">
      <c r="C15" s="544"/>
      <c r="D15" s="370" t="str">
        <f>data!C14</f>
        <v>A5</v>
      </c>
      <c r="E15" s="371" t="str">
        <f>data!D14</f>
        <v>All potential project stakeholders identified and engaged</v>
      </c>
      <c r="F15" s="92"/>
      <c r="G15" s="361" t="str">
        <f>IF(G$7&lt;=ActiveStage,IF(data!Y14,IF(data!I14&gt;0,INDEX(data!$E14:$H14,data!I14),""),"n/a"),"")</f>
        <v/>
      </c>
      <c r="H15" s="345" t="str">
        <f>IF(H$7&lt;=ActiveStage,IF(data!Z14,IF(data!J14&gt;0,INDEX(data!$E14:$H14,data!J14),""),"n/a"),"")</f>
        <v/>
      </c>
      <c r="I15" s="345" t="str">
        <f>IF(I$7&lt;=ActiveStage,IF(data!AA14,IF(data!K14&gt;0,INDEX(data!$E14:$H14,data!K14),""),"n/a"),"")</f>
        <v/>
      </c>
      <c r="J15" s="345" t="str">
        <f>IF(J$7&lt;=ActiveStage,IF(data!AB14,IF(data!L14&gt;0,INDEX(data!$E14:$H14,data!L14),""),"n/a"),"")</f>
        <v/>
      </c>
      <c r="K15" s="345" t="str">
        <f>IF(K$7&lt;=ActiveStage,IF(data!AC14,IF(data!M14&gt;0,INDEX(data!$E14:$H14,data!M14),""),"n/a"),"")</f>
        <v/>
      </c>
      <c r="L15" s="345" t="str">
        <f>IF(L$7&lt;=ActiveStage,IF(data!AD14,IF(data!N14&gt;0,INDEX(data!$E14:$H14,data!N14),""),"n/a"),"")</f>
        <v/>
      </c>
      <c r="M15" s="345" t="str">
        <f>IF(M$7&lt;=ActiveStage,IF(data!AE14,IF(data!O14&gt;0,INDEX(data!$E14:$H14,data!O14),""),"n/a"),"")</f>
        <v/>
      </c>
      <c r="N15" s="362" t="str">
        <f>IF(N$7&lt;=ActiveStage,IF(data!AF14,IF(data!P14&gt;0,INDEX(data!$E14:$H14,data!P14),""),"n/a"),"")</f>
        <v/>
      </c>
    </row>
    <row r="16" spans="3:14" s="2" customFormat="1" ht="16" customHeight="1" x14ac:dyDescent="0.2">
      <c r="C16" s="544"/>
      <c r="D16" s="370" t="str">
        <f>data!C15</f>
        <v>A6</v>
      </c>
      <c r="E16" s="371" t="str">
        <f>data!D15</f>
        <v>Comprehensive design team appointed</v>
      </c>
      <c r="F16" s="92"/>
      <c r="G16" s="361" t="str">
        <f>IF(G$7&lt;=ActiveStage,IF(data!Y15,IF(data!I15&gt;0,INDEX(data!$E15:$H15,data!I15),""),"n/a"),"")</f>
        <v/>
      </c>
      <c r="H16" s="345" t="str">
        <f>IF(H$7&lt;=ActiveStage,IF(data!Z15,IF(data!J15&gt;0,INDEX(data!$E15:$H15,data!J15),""),"n/a"),"")</f>
        <v/>
      </c>
      <c r="I16" s="345" t="str">
        <f>IF(I$7&lt;=ActiveStage,IF(data!AA15,IF(data!K15&gt;0,INDEX(data!$E15:$H15,data!K15),""),"n/a"),"")</f>
        <v/>
      </c>
      <c r="J16" s="345" t="str">
        <f>IF(J$7&lt;=ActiveStage,IF(data!AB15,IF(data!L15&gt;0,INDEX(data!$E15:$H15,data!L15),""),"n/a"),"")</f>
        <v/>
      </c>
      <c r="K16" s="345" t="str">
        <f>IF(K$7&lt;=ActiveStage,IF(data!AC15,IF(data!M15&gt;0,INDEX(data!$E15:$H15,data!M15),""),"n/a"),"")</f>
        <v/>
      </c>
      <c r="L16" s="345" t="str">
        <f>IF(L$7&lt;=ActiveStage,IF(data!AD15,IF(data!N15&gt;0,INDEX(data!$E15:$H15,data!N15),""),"n/a"),"")</f>
        <v/>
      </c>
      <c r="M16" s="345" t="str">
        <f>IF(M$7&lt;=ActiveStage,IF(data!AE15,IF(data!O15&gt;0,INDEX(data!$E15:$H15,data!O15),""),"n/a"),"")</f>
        <v/>
      </c>
      <c r="N16" s="362" t="str">
        <f>IF(N$7&lt;=ActiveStage,IF(data!AF15,IF(data!P15&gt;0,INDEX(data!$E15:$H15,data!P15),""),"n/a"),"")</f>
        <v/>
      </c>
    </row>
    <row r="17" spans="3:14" s="2" customFormat="1" ht="16" customHeight="1" x14ac:dyDescent="0.2">
      <c r="C17" s="544"/>
      <c r="D17" s="370" t="str">
        <f>data!C16</f>
        <v>A7</v>
      </c>
      <c r="E17" s="371" t="str">
        <f>data!D16</f>
        <v>Comprehensive background information supporting feasibility work</v>
      </c>
      <c r="F17" s="92"/>
      <c r="G17" s="361" t="str">
        <f>IF(G$7&lt;=ActiveStage,IF(data!Y16,IF(data!I16&gt;0,INDEX(data!$E16:$H16,data!I16),""),"n/a"),"")</f>
        <v/>
      </c>
      <c r="H17" s="345" t="str">
        <f>IF(H$7&lt;=ActiveStage,IF(data!Z16,IF(data!J16&gt;0,INDEX(data!$E16:$H16,data!J16),""),"n/a"),"")</f>
        <v/>
      </c>
      <c r="I17" s="345" t="str">
        <f>IF(I$7&lt;=ActiveStage,IF(data!AA16,IF(data!K16&gt;0,INDEX(data!$E16:$H16,data!K16),""),"n/a"),"")</f>
        <v/>
      </c>
      <c r="J17" s="345" t="str">
        <f>IF(J$7&lt;=ActiveStage,IF(data!AB16,IF(data!L16&gt;0,INDEX(data!$E16:$H16,data!L16),""),"n/a"),"")</f>
        <v/>
      </c>
      <c r="K17" s="345" t="str">
        <f>IF(K$7&lt;=ActiveStage,IF(data!AC16,IF(data!M16&gt;0,INDEX(data!$E16:$H16,data!M16),""),"n/a"),"")</f>
        <v/>
      </c>
      <c r="L17" s="345" t="str">
        <f>IF(L$7&lt;=ActiveStage,IF(data!AD16,IF(data!N16&gt;0,INDEX(data!$E16:$H16,data!N16),""),"n/a"),"")</f>
        <v/>
      </c>
      <c r="M17" s="345" t="str">
        <f>IF(M$7&lt;=ActiveStage,IF(data!AE16,IF(data!O16&gt;0,INDEX(data!$E16:$H16,data!O16),""),"n/a"),"")</f>
        <v/>
      </c>
      <c r="N17" s="362" t="str">
        <f>IF(N$7&lt;=ActiveStage,IF(data!AF16,IF(data!P16&gt;0,INDEX(data!$E16:$H16,data!P16),""),"n/a"),"")</f>
        <v/>
      </c>
    </row>
    <row r="18" spans="3:14" s="2" customFormat="1" ht="16" customHeight="1" x14ac:dyDescent="0.2">
      <c r="C18" s="544"/>
      <c r="D18" s="370" t="str">
        <f>data!C17</f>
        <v>A8</v>
      </c>
      <c r="E18" s="371" t="str">
        <f>data!D17</f>
        <v>High confidence of obtaining planning approval</v>
      </c>
      <c r="F18" s="92"/>
      <c r="G18" s="361" t="str">
        <f>IF(G$7&lt;=ActiveStage,IF(data!Y17,IF(data!I17&gt;0,INDEX(data!$E17:$H17,data!I17),""),"n/a"),"")</f>
        <v/>
      </c>
      <c r="H18" s="345" t="str">
        <f>IF(H$7&lt;=ActiveStage,IF(data!Z17,IF(data!J17&gt;0,INDEX(data!$E17:$H17,data!J17),""),"n/a"),"")</f>
        <v/>
      </c>
      <c r="I18" s="345" t="str">
        <f>IF(I$7&lt;=ActiveStage,IF(data!AA17,IF(data!K17&gt;0,INDEX(data!$E17:$H17,data!K17),""),"n/a"),"")</f>
        <v/>
      </c>
      <c r="J18" s="345" t="str">
        <f>IF(J$7&lt;=ActiveStage,IF(data!AB17,IF(data!L17&gt;0,INDEX(data!$E17:$H17,data!L17),""),"n/a"),"")</f>
        <v/>
      </c>
      <c r="K18" s="345" t="str">
        <f>IF(K$7&lt;=ActiveStage,IF(data!AC17,IF(data!M17&gt;0,INDEX(data!$E17:$H17,data!M17),""),"n/a"),"")</f>
        <v/>
      </c>
      <c r="L18" s="345" t="str">
        <f>IF(L$7&lt;=ActiveStage,IF(data!AD17,IF(data!N17&gt;0,INDEX(data!$E17:$H17,data!N17),""),"n/a"),"")</f>
        <v/>
      </c>
      <c r="M18" s="345" t="str">
        <f>IF(M$7&lt;=ActiveStage,IF(data!AE17,IF(data!O17&gt;0,INDEX(data!$E17:$H17,data!O17),""),"n/a"),"")</f>
        <v/>
      </c>
      <c r="N18" s="362" t="str">
        <f>IF(N$7&lt;=ActiveStage,IF(data!AF17,IF(data!P17&gt;0,INDEX(data!$E17:$H17,data!P17),""),"n/a"),"")</f>
        <v/>
      </c>
    </row>
    <row r="19" spans="3:14" s="2" customFormat="1" ht="16" customHeight="1" x14ac:dyDescent="0.2">
      <c r="C19" s="544"/>
      <c r="D19" s="370" t="str">
        <f>data!C18</f>
        <v>A9</v>
      </c>
      <c r="E19" s="371" t="str">
        <f>data!D18</f>
        <v>Planning application submitted at which RIBA workstage?</v>
      </c>
      <c r="F19" s="92"/>
      <c r="G19" s="361" t="str">
        <f>IF(G$7&lt;=ActiveStage,IF(data!Y18,IF(data!I18&gt;0,INDEX(data!$E18:$H18,data!I18),""),"n/a"),"")</f>
        <v/>
      </c>
      <c r="H19" s="345" t="str">
        <f>IF(H$7&lt;=ActiveStage,IF(data!Z18,IF(data!J18&gt;0,INDEX(data!$E18:$H18,data!J18),""),"n/a"),"")</f>
        <v/>
      </c>
      <c r="I19" s="345" t="str">
        <f>IF(I$7&lt;=ActiveStage,IF(data!AA18,IF(data!K18&gt;0,INDEX(data!$E18:$H18,data!K18),""),"n/a"),"")</f>
        <v/>
      </c>
      <c r="J19" s="345" t="str">
        <f>IF(J$7&lt;=ActiveStage,IF(data!AB18,IF(data!L18&gt;0,INDEX(data!$E18:$H18,data!L18),""),"n/a"),"")</f>
        <v/>
      </c>
      <c r="K19" s="345" t="str">
        <f>IF(K$7&lt;=ActiveStage,IF(data!AC18,IF(data!M18&gt;0,INDEX(data!$E18:$H18,data!M18),""),"n/a"),"")</f>
        <v/>
      </c>
      <c r="L19" s="345" t="str">
        <f>IF(L$7&lt;=ActiveStage,IF(data!AD18,IF(data!N18&gt;0,INDEX(data!$E18:$H18,data!N18),""),"n/a"),"")</f>
        <v/>
      </c>
      <c r="M19" s="345" t="str">
        <f>IF(M$7&lt;=ActiveStage,IF(data!AE18,IF(data!O18&gt;0,INDEX(data!$E18:$H18,data!O18),""),"n/a"),"")</f>
        <v/>
      </c>
      <c r="N19" s="362" t="str">
        <f>IF(N$7&lt;=ActiveStage,IF(data!AF18,IF(data!P18&gt;0,INDEX(data!$E18:$H18,data!P18),""),"n/a"),"")</f>
        <v/>
      </c>
    </row>
    <row r="20" spans="3:14" s="2" customFormat="1" ht="16" customHeight="1" x14ac:dyDescent="0.2">
      <c r="C20" s="544"/>
      <c r="D20" s="370" t="str">
        <f>data!C19</f>
        <v>A10</v>
      </c>
      <c r="E20" s="371" t="str">
        <f>data!D19</f>
        <v>All significant planning conditions have been discharged</v>
      </c>
      <c r="F20" s="92"/>
      <c r="G20" s="361" t="str">
        <f>IF(G$7&lt;=ActiveStage,IF(data!Y19,IF(data!I19&gt;0,INDEX(data!$E19:$H19,data!I19),""),"n/a"),"")</f>
        <v>n/a</v>
      </c>
      <c r="H20" s="345" t="str">
        <f>IF(H$7&lt;=ActiveStage,IF(data!Z19,IF(data!J19&gt;0,INDEX(data!$E19:$H19,data!J19),""),"n/a"),"")</f>
        <v/>
      </c>
      <c r="I20" s="345" t="str">
        <f>IF(I$7&lt;=ActiveStage,IF(data!AA19,IF(data!K19&gt;0,INDEX(data!$E19:$H19,data!K19),""),"n/a"),"")</f>
        <v/>
      </c>
      <c r="J20" s="345" t="str">
        <f>IF(J$7&lt;=ActiveStage,IF(data!AB19,IF(data!L19&gt;0,INDEX(data!$E19:$H19,data!L19),""),"n/a"),"")</f>
        <v/>
      </c>
      <c r="K20" s="345" t="str">
        <f>IF(K$7&lt;=ActiveStage,IF(data!AC19,IF(data!M19&gt;0,INDEX(data!$E19:$H19,data!M19),""),"n/a"),"")</f>
        <v/>
      </c>
      <c r="L20" s="345" t="str">
        <f>IF(L$7&lt;=ActiveStage,IF(data!AD19,IF(data!N19&gt;0,INDEX(data!$E19:$H19,data!N19),""),"n/a"),"")</f>
        <v/>
      </c>
      <c r="M20" s="345" t="str">
        <f>IF(M$7&lt;=ActiveStage,IF(data!AE19,IF(data!O19&gt;0,INDEX(data!$E19:$H19,data!O19),""),"n/a"),"")</f>
        <v/>
      </c>
      <c r="N20" s="362" t="str">
        <f>IF(N$7&lt;=ActiveStage,IF(data!AF19,IF(data!P19&gt;0,INDEX(data!$E19:$H19,data!P19),""),"n/a"),"")</f>
        <v/>
      </c>
    </row>
    <row r="21" spans="3:14" s="2" customFormat="1" ht="16" customHeight="1" x14ac:dyDescent="0.2">
      <c r="C21" s="544"/>
      <c r="D21" s="370" t="str">
        <f>data!C20</f>
        <v>A11</v>
      </c>
      <c r="E21" s="371" t="str">
        <f>data!D20</f>
        <v>Clearly defined sustainability objectives</v>
      </c>
      <c r="F21" s="92"/>
      <c r="G21" s="361" t="str">
        <f>IF(G$7&lt;=ActiveStage,IF(data!Y20,IF(data!I20&gt;0,INDEX(data!$E20:$H20,data!I20),""),"n/a"),"")</f>
        <v/>
      </c>
      <c r="H21" s="345" t="str">
        <f>IF(H$7&lt;=ActiveStage,IF(data!Z20,IF(data!J20&gt;0,INDEX(data!$E20:$H20,data!J20),""),"n/a"),"")</f>
        <v/>
      </c>
      <c r="I21" s="345" t="str">
        <f>IF(I$7&lt;=ActiveStage,IF(data!AA20,IF(data!K20&gt;0,INDEX(data!$E20:$H20,data!K20),""),"n/a"),"")</f>
        <v/>
      </c>
      <c r="J21" s="345" t="str">
        <f>IF(J$7&lt;=ActiveStage,IF(data!AB20,IF(data!L20&gt;0,INDEX(data!$E20:$H20,data!L20),""),"n/a"),"")</f>
        <v/>
      </c>
      <c r="K21" s="345" t="str">
        <f>IF(K$7&lt;=ActiveStage,IF(data!AC20,IF(data!M20&gt;0,INDEX(data!$E20:$H20,data!M20),""),"n/a"),"")</f>
        <v/>
      </c>
      <c r="L21" s="345" t="str">
        <f>IF(L$7&lt;=ActiveStage,IF(data!AD20,IF(data!N20&gt;0,INDEX(data!$E20:$H20,data!N20),""),"n/a"),"")</f>
        <v/>
      </c>
      <c r="M21" s="345" t="str">
        <f>IF(M$7&lt;=ActiveStage,IF(data!AE20,IF(data!O20&gt;0,INDEX(data!$E20:$H20,data!O20),""),"n/a"),"")</f>
        <v/>
      </c>
      <c r="N21" s="362" t="str">
        <f>IF(N$7&lt;=ActiveStage,IF(data!AF20,IF(data!P20&gt;0,INDEX(data!$E20:$H20,data!P20),""),"n/a"),"")</f>
        <v/>
      </c>
    </row>
    <row r="22" spans="3:14" s="2" customFormat="1" ht="16" customHeight="1" x14ac:dyDescent="0.2">
      <c r="C22" s="348"/>
      <c r="D22" s="370" t="str">
        <f>data!C21</f>
        <v>A12</v>
      </c>
      <c r="E22" s="371" t="str">
        <f>data!D21</f>
        <v>Fire safety analysis carried out</v>
      </c>
      <c r="F22" s="92"/>
      <c r="G22" s="361" t="str">
        <f>IF(G$7&lt;=ActiveStage,IF(data!Y21,IF(data!I21&gt;0,INDEX(data!$E21:$H21,data!I21),""),"n/a"),"")</f>
        <v>n/a</v>
      </c>
      <c r="H22" s="345" t="str">
        <f>IF(H$7&lt;=ActiveStage,IF(data!Z21,IF(data!J21&gt;0,INDEX(data!$E21:$H21,data!J21),""),"n/a"),"")</f>
        <v/>
      </c>
      <c r="I22" s="345" t="str">
        <f>IF(I$7&lt;=ActiveStage,IF(data!AA21,IF(data!K21&gt;0,INDEX(data!$E21:$H21,data!K21),""),"n/a"),"")</f>
        <v/>
      </c>
      <c r="J22" s="345" t="str">
        <f>IF(J$7&lt;=ActiveStage,IF(data!AB21,IF(data!L21&gt;0,INDEX(data!$E21:$H21,data!L21),""),"n/a"),"")</f>
        <v/>
      </c>
      <c r="K22" s="345" t="str">
        <f>IF(K$7&lt;=ActiveStage,IF(data!AC21,IF(data!M21&gt;0,INDEX(data!$E21:$H21,data!M21),""),"n/a"),"")</f>
        <v/>
      </c>
      <c r="L22" s="345" t="str">
        <f>IF(L$7&lt;=ActiveStage,IF(data!AD21,IF(data!N21&gt;0,INDEX(data!$E21:$H21,data!N21),""),"n/a"),"")</f>
        <v/>
      </c>
      <c r="M22" s="345" t="str">
        <f>IF(M$7&lt;=ActiveStage,IF(data!AE21,IF(data!O21&gt;0,INDEX(data!$E21:$H21,data!O21),""),"n/a"),"")</f>
        <v/>
      </c>
      <c r="N22" s="362" t="str">
        <f>IF(N$7&lt;=ActiveStage,IF(data!AF21,IF(data!P21&gt;0,INDEX(data!$E21:$H21,data!P21),""),"n/a"),"")</f>
        <v/>
      </c>
    </row>
    <row r="23" spans="3:14" s="2" customFormat="1" ht="16" hidden="1" customHeight="1" x14ac:dyDescent="0.2">
      <c r="C23" s="348"/>
      <c r="D23" s="370" t="str">
        <f>data!C22</f>
        <v>A13</v>
      </c>
      <c r="E23" s="371">
        <f>data!D22</f>
        <v>0</v>
      </c>
      <c r="F23" s="92"/>
      <c r="G23" s="361" t="str">
        <f>IF(G$7&lt;=ActiveStage,IF(data!Y22,IF(data!I22&gt;0,INDEX(data!$E22:$H22,data!I22),""),"n/a"),"")</f>
        <v/>
      </c>
      <c r="H23" s="345" t="str">
        <f>IF(H$7&lt;=ActiveStage,IF(data!Z22,IF(data!J22&gt;0,INDEX(data!$E22:$H22,data!J22),""),"n/a"),"")</f>
        <v/>
      </c>
      <c r="I23" s="345" t="str">
        <f>IF(I$7&lt;=ActiveStage,IF(data!AA22,IF(data!K22&gt;0,INDEX(data!$E22:$H22,data!K22),""),"n/a"),"")</f>
        <v/>
      </c>
      <c r="J23" s="345" t="str">
        <f>IF(J$7&lt;=ActiveStage,IF(data!AB22,IF(data!L22&gt;0,INDEX(data!$E22:$H22,data!L22),""),"n/a"),"")</f>
        <v/>
      </c>
      <c r="K23" s="345" t="str">
        <f>IF(K$7&lt;=ActiveStage,IF(data!AC22,IF(data!M22&gt;0,INDEX(data!$E22:$H22,data!M22),""),"n/a"),"")</f>
        <v/>
      </c>
      <c r="L23" s="345" t="str">
        <f>IF(L$7&lt;=ActiveStage,IF(data!AD22,IF(data!N22&gt;0,INDEX(data!$E22:$H22,data!N22),""),"n/a"),"")</f>
        <v/>
      </c>
      <c r="M23" s="345" t="str">
        <f>IF(M$7&lt;=ActiveStage,IF(data!AE22,IF(data!O22&gt;0,INDEX(data!$E22:$H22,data!O22),""),"n/a"),"")</f>
        <v/>
      </c>
      <c r="N23" s="362" t="str">
        <f>IF(N$7&lt;=ActiveStage,IF(data!AF22,IF(data!P22&gt;0,INDEX(data!$E22:$H22,data!P22),""),"n/a"),"")</f>
        <v/>
      </c>
    </row>
    <row r="24" spans="3:14" s="2" customFormat="1" ht="16" hidden="1" customHeight="1" x14ac:dyDescent="0.2">
      <c r="C24" s="348"/>
      <c r="D24" s="370" t="str">
        <f>data!C23</f>
        <v>A14</v>
      </c>
      <c r="E24" s="371">
        <f>data!D23</f>
        <v>0</v>
      </c>
      <c r="F24" s="92"/>
      <c r="G24" s="361" t="str">
        <f>IF(G$7&lt;=ActiveStage,IF(data!Y23,IF(data!I23&gt;0,INDEX(data!$E23:$H23,data!I23),""),"n/a"),"")</f>
        <v/>
      </c>
      <c r="H24" s="345" t="str">
        <f>IF(H$7&lt;=ActiveStage,IF(data!Z23,IF(data!J23&gt;0,INDEX(data!$E23:$H23,data!J23),""),"n/a"),"")</f>
        <v/>
      </c>
      <c r="I24" s="345" t="str">
        <f>IF(I$7&lt;=ActiveStage,IF(data!AA23,IF(data!K23&gt;0,INDEX(data!$E23:$H23,data!K23),""),"n/a"),"")</f>
        <v/>
      </c>
      <c r="J24" s="345" t="str">
        <f>IF(J$7&lt;=ActiveStage,IF(data!AB23,IF(data!L23&gt;0,INDEX(data!$E23:$H23,data!L23),""),"n/a"),"")</f>
        <v/>
      </c>
      <c r="K24" s="345" t="str">
        <f>IF(K$7&lt;=ActiveStage,IF(data!AC23,IF(data!M23&gt;0,INDEX(data!$E23:$H23,data!M23),""),"n/a"),"")</f>
        <v/>
      </c>
      <c r="L24" s="345" t="str">
        <f>IF(L$7&lt;=ActiveStage,IF(data!AD23,IF(data!N23&gt;0,INDEX(data!$E23:$H23,data!N23),""),"n/a"),"")</f>
        <v/>
      </c>
      <c r="M24" s="345" t="str">
        <f>IF(M$7&lt;=ActiveStage,IF(data!AE23,IF(data!O23&gt;0,INDEX(data!$E23:$H23,data!O23),""),"n/a"),"")</f>
        <v/>
      </c>
      <c r="N24" s="362" t="str">
        <f>IF(N$7&lt;=ActiveStage,IF(data!AF23,IF(data!P23&gt;0,INDEX(data!$E23:$H23,data!P23),""),"n/a"),"")</f>
        <v/>
      </c>
    </row>
    <row r="25" spans="3:14" s="2" customFormat="1" ht="16" hidden="1" customHeight="1" x14ac:dyDescent="0.2">
      <c r="C25" s="348"/>
      <c r="D25" s="370" t="str">
        <f>data!C24</f>
        <v>A15</v>
      </c>
      <c r="E25" s="371">
        <f>data!D24</f>
        <v>0</v>
      </c>
      <c r="F25" s="92"/>
      <c r="G25" s="361" t="str">
        <f>IF(G$7&lt;=ActiveStage,IF(data!Y24,IF(data!I24&gt;0,INDEX(data!$E24:$H24,data!I24),""),"n/a"),"")</f>
        <v/>
      </c>
      <c r="H25" s="345" t="str">
        <f>IF(H$7&lt;=ActiveStage,IF(data!Z24,IF(data!J24&gt;0,INDEX(data!$E24:$H24,data!J24),""),"n/a"),"")</f>
        <v/>
      </c>
      <c r="I25" s="345" t="str">
        <f>IF(I$7&lt;=ActiveStage,IF(data!AA24,IF(data!K24&gt;0,INDEX(data!$E24:$H24,data!K24),""),"n/a"),"")</f>
        <v/>
      </c>
      <c r="J25" s="345" t="str">
        <f>IF(J$7&lt;=ActiveStage,IF(data!AB24,IF(data!L24&gt;0,INDEX(data!$E24:$H24,data!L24),""),"n/a"),"")</f>
        <v/>
      </c>
      <c r="K25" s="345" t="str">
        <f>IF(K$7&lt;=ActiveStage,IF(data!AC24,IF(data!M24&gt;0,INDEX(data!$E24:$H24,data!M24),""),"n/a"),"")</f>
        <v/>
      </c>
      <c r="L25" s="345" t="str">
        <f>IF(L$7&lt;=ActiveStage,IF(data!AD24,IF(data!N24&gt;0,INDEX(data!$E24:$H24,data!N24),""),"n/a"),"")</f>
        <v/>
      </c>
      <c r="M25" s="345" t="str">
        <f>IF(M$7&lt;=ActiveStage,IF(data!AE24,IF(data!O24&gt;0,INDEX(data!$E24:$H24,data!O24),""),"n/a"),"")</f>
        <v/>
      </c>
      <c r="N25" s="362" t="str">
        <f>IF(N$7&lt;=ActiveStage,IF(data!AF24,IF(data!P24&gt;0,INDEX(data!$E24:$H24,data!P24),""),"n/a"),"")</f>
        <v/>
      </c>
    </row>
    <row r="26" spans="3:14" s="2" customFormat="1" ht="16" hidden="1" customHeight="1" x14ac:dyDescent="0.2">
      <c r="C26" s="348"/>
      <c r="D26" s="370" t="str">
        <f>data!C25</f>
        <v>A16</v>
      </c>
      <c r="E26" s="371">
        <f>data!D25</f>
        <v>0</v>
      </c>
      <c r="F26" s="92"/>
      <c r="G26" s="361" t="str">
        <f>IF(G$7&lt;=ActiveStage,IF(data!Y25,IF(data!I25&gt;0,INDEX(data!$E25:$H25,data!I25),""),"n/a"),"")</f>
        <v/>
      </c>
      <c r="H26" s="345" t="str">
        <f>IF(H$7&lt;=ActiveStage,IF(data!Z25,IF(data!J25&gt;0,INDEX(data!$E25:$H25,data!J25),""),"n/a"),"")</f>
        <v/>
      </c>
      <c r="I26" s="345" t="str">
        <f>IF(I$7&lt;=ActiveStage,IF(data!AA25,IF(data!K25&gt;0,INDEX(data!$E25:$H25,data!K25),""),"n/a"),"")</f>
        <v/>
      </c>
      <c r="J26" s="345" t="str">
        <f>IF(J$7&lt;=ActiveStage,IF(data!AB25,IF(data!L25&gt;0,INDEX(data!$E25:$H25,data!L25),""),"n/a"),"")</f>
        <v/>
      </c>
      <c r="K26" s="345" t="str">
        <f>IF(K$7&lt;=ActiveStage,IF(data!AC25,IF(data!M25&gt;0,INDEX(data!$E25:$H25,data!M25),""),"n/a"),"")</f>
        <v/>
      </c>
      <c r="L26" s="345" t="str">
        <f>IF(L$7&lt;=ActiveStage,IF(data!AD25,IF(data!N25&gt;0,INDEX(data!$E25:$H25,data!N25),""),"n/a"),"")</f>
        <v/>
      </c>
      <c r="M26" s="345" t="str">
        <f>IF(M$7&lt;=ActiveStage,IF(data!AE25,IF(data!O25&gt;0,INDEX(data!$E25:$H25,data!O25),""),"n/a"),"")</f>
        <v/>
      </c>
      <c r="N26" s="362" t="str">
        <f>IF(N$7&lt;=ActiveStage,IF(data!AF25,IF(data!P25&gt;0,INDEX(data!$E25:$H25,data!P25),""),"n/a"),"")</f>
        <v/>
      </c>
    </row>
    <row r="27" spans="3:14" s="2" customFormat="1" ht="16" hidden="1" customHeight="1" x14ac:dyDescent="0.2">
      <c r="C27" s="348"/>
      <c r="D27" s="370" t="str">
        <f>data!C26</f>
        <v>A17</v>
      </c>
      <c r="E27" s="371">
        <f>data!D26</f>
        <v>0</v>
      </c>
      <c r="F27" s="92"/>
      <c r="G27" s="361" t="str">
        <f>IF(G$7&lt;=ActiveStage,IF(data!Y26,IF(data!I26&gt;0,INDEX(data!$E26:$H26,data!I26),""),"n/a"),"")</f>
        <v/>
      </c>
      <c r="H27" s="345" t="str">
        <f>IF(H$7&lt;=ActiveStage,IF(data!Z26,IF(data!J26&gt;0,INDEX(data!$E26:$H26,data!J26),""),"n/a"),"")</f>
        <v/>
      </c>
      <c r="I27" s="345" t="str">
        <f>IF(I$7&lt;=ActiveStage,IF(data!AA26,IF(data!K26&gt;0,INDEX(data!$E26:$H26,data!K26),""),"n/a"),"")</f>
        <v/>
      </c>
      <c r="J27" s="345" t="str">
        <f>IF(J$7&lt;=ActiveStage,IF(data!AB26,IF(data!L26&gt;0,INDEX(data!$E26:$H26,data!L26),""),"n/a"),"")</f>
        <v/>
      </c>
      <c r="K27" s="345" t="str">
        <f>IF(K$7&lt;=ActiveStage,IF(data!AC26,IF(data!M26&gt;0,INDEX(data!$E26:$H26,data!M26),""),"n/a"),"")</f>
        <v/>
      </c>
      <c r="L27" s="345" t="str">
        <f>IF(L$7&lt;=ActiveStage,IF(data!AD26,IF(data!N26&gt;0,INDEX(data!$E26:$H26,data!N26),""),"n/a"),"")</f>
        <v/>
      </c>
      <c r="M27" s="345" t="str">
        <f>IF(M$7&lt;=ActiveStage,IF(data!AE26,IF(data!O26&gt;0,INDEX(data!$E26:$H26,data!O26),""),"n/a"),"")</f>
        <v/>
      </c>
      <c r="N27" s="362" t="str">
        <f>IF(N$7&lt;=ActiveStage,IF(data!AF26,IF(data!P26&gt;0,INDEX(data!$E26:$H26,data!P26),""),"n/a"),"")</f>
        <v/>
      </c>
    </row>
    <row r="28" spans="3:14" s="2" customFormat="1" ht="16" hidden="1" customHeight="1" x14ac:dyDescent="0.2">
      <c r="C28" s="348"/>
      <c r="D28" s="370" t="str">
        <f>data!C27</f>
        <v>A18</v>
      </c>
      <c r="E28" s="371">
        <f>data!D27</f>
        <v>0</v>
      </c>
      <c r="F28" s="92"/>
      <c r="G28" s="361" t="str">
        <f>IF(G$7&lt;=ActiveStage,IF(data!Y27,IF(data!I27&gt;0,INDEX(data!$E27:$H27,data!I27),""),"n/a"),"")</f>
        <v/>
      </c>
      <c r="H28" s="345" t="str">
        <f>IF(H$7&lt;=ActiveStage,IF(data!Z27,IF(data!J27&gt;0,INDEX(data!$E27:$H27,data!J27),""),"n/a"),"")</f>
        <v/>
      </c>
      <c r="I28" s="345" t="str">
        <f>IF(I$7&lt;=ActiveStage,IF(data!AA27,IF(data!K27&gt;0,INDEX(data!$E27:$H27,data!K27),""),"n/a"),"")</f>
        <v/>
      </c>
      <c r="J28" s="345" t="str">
        <f>IF(J$7&lt;=ActiveStage,IF(data!AB27,IF(data!L27&gt;0,INDEX(data!$E27:$H27,data!L27),""),"n/a"),"")</f>
        <v/>
      </c>
      <c r="K28" s="345" t="str">
        <f>IF(K$7&lt;=ActiveStage,IF(data!AC27,IF(data!M27&gt;0,INDEX(data!$E27:$H27,data!M27),""),"n/a"),"")</f>
        <v/>
      </c>
      <c r="L28" s="345" t="str">
        <f>IF(L$7&lt;=ActiveStage,IF(data!AD27,IF(data!N27&gt;0,INDEX(data!$E27:$H27,data!N27),""),"n/a"),"")</f>
        <v/>
      </c>
      <c r="M28" s="345" t="str">
        <f>IF(M$7&lt;=ActiveStage,IF(data!AE27,IF(data!O27&gt;0,INDEX(data!$E27:$H27,data!O27),""),"n/a"),"")</f>
        <v/>
      </c>
      <c r="N28" s="362" t="str">
        <f>IF(N$7&lt;=ActiveStage,IF(data!AF27,IF(data!P27&gt;0,INDEX(data!$E27:$H27,data!P27),""),"n/a"),"")</f>
        <v/>
      </c>
    </row>
    <row r="29" spans="3:14" s="2" customFormat="1" ht="16" hidden="1" customHeight="1" x14ac:dyDescent="0.2">
      <c r="C29" s="348"/>
      <c r="D29" s="370" t="str">
        <f>data!C28</f>
        <v>A19</v>
      </c>
      <c r="E29" s="371">
        <f>data!D28</f>
        <v>0</v>
      </c>
      <c r="F29" s="92"/>
      <c r="G29" s="361" t="str">
        <f>IF(G$7&lt;=ActiveStage,IF(data!Y28,IF(data!I28&gt;0,INDEX(data!$E28:$H28,data!I28),""),"n/a"),"")</f>
        <v/>
      </c>
      <c r="H29" s="345" t="str">
        <f>IF(H$7&lt;=ActiveStage,IF(data!Z28,IF(data!J28&gt;0,INDEX(data!$E28:$H28,data!J28),""),"n/a"),"")</f>
        <v/>
      </c>
      <c r="I29" s="345" t="str">
        <f>IF(I$7&lt;=ActiveStage,IF(data!AA28,IF(data!K28&gt;0,INDEX(data!$E28:$H28,data!K28),""),"n/a"),"")</f>
        <v/>
      </c>
      <c r="J29" s="345" t="str">
        <f>IF(J$7&lt;=ActiveStage,IF(data!AB28,IF(data!L28&gt;0,INDEX(data!$E28:$H28,data!L28),""),"n/a"),"")</f>
        <v/>
      </c>
      <c r="K29" s="345" t="str">
        <f>IF(K$7&lt;=ActiveStage,IF(data!AC28,IF(data!M28&gt;0,INDEX(data!$E28:$H28,data!M28),""),"n/a"),"")</f>
        <v/>
      </c>
      <c r="L29" s="345" t="str">
        <f>IF(L$7&lt;=ActiveStage,IF(data!AD28,IF(data!N28&gt;0,INDEX(data!$E28:$H28,data!N28),""),"n/a"),"")</f>
        <v/>
      </c>
      <c r="M29" s="345" t="str">
        <f>IF(M$7&lt;=ActiveStage,IF(data!AE28,IF(data!O28&gt;0,INDEX(data!$E28:$H28,data!O28),""),"n/a"),"")</f>
        <v/>
      </c>
      <c r="N29" s="362" t="str">
        <f>IF(N$7&lt;=ActiveStage,IF(data!AF28,IF(data!P28&gt;0,INDEX(data!$E28:$H28,data!P28),""),"n/a"),"")</f>
        <v/>
      </c>
    </row>
    <row r="30" spans="3:14" s="2" customFormat="1" ht="16" hidden="1" customHeight="1" x14ac:dyDescent="0.2">
      <c r="C30" s="348"/>
      <c r="D30" s="372" t="str">
        <f>data!C29</f>
        <v>A20</v>
      </c>
      <c r="E30" s="373">
        <f>data!D29</f>
        <v>0</v>
      </c>
      <c r="F30" s="92"/>
      <c r="G30" s="388" t="str">
        <f>IF(G$7&lt;=ActiveStage,IF(data!Y29,IF(data!I29&gt;0,INDEX(data!$E29:$H29,data!I29),""),"n/a"),"")</f>
        <v/>
      </c>
      <c r="H30" s="389" t="str">
        <f>IF(H$7&lt;=ActiveStage,IF(data!Z29,IF(data!J29&gt;0,INDEX(data!$E29:$H29,data!J29),""),"n/a"),"")</f>
        <v/>
      </c>
      <c r="I30" s="389" t="str">
        <f>IF(I$7&lt;=ActiveStage,IF(data!AA29,IF(data!K29&gt;0,INDEX(data!$E29:$H29,data!K29),""),"n/a"),"")</f>
        <v/>
      </c>
      <c r="J30" s="389" t="str">
        <f>IF(J$7&lt;=ActiveStage,IF(data!AB29,IF(data!L29&gt;0,INDEX(data!$E29:$H29,data!L29),""),"n/a"),"")</f>
        <v/>
      </c>
      <c r="K30" s="389" t="str">
        <f>IF(K$7&lt;=ActiveStage,IF(data!AC29,IF(data!M29&gt;0,INDEX(data!$E29:$H29,data!M29),""),"n/a"),"")</f>
        <v/>
      </c>
      <c r="L30" s="389" t="str">
        <f>IF(L$7&lt;=ActiveStage,IF(data!AD29,IF(data!N29&gt;0,INDEX(data!$E29:$H29,data!N29),""),"n/a"),"")</f>
        <v/>
      </c>
      <c r="M30" s="389" t="str">
        <f>IF(M$7&lt;=ActiveStage,IF(data!AE29,IF(data!O29&gt;0,INDEX(data!$E29:$H29,data!O29),""),"n/a"),"")</f>
        <v/>
      </c>
      <c r="N30" s="390" t="str">
        <f>IF(N$7&lt;=ActiveStage,IF(data!AF29,IF(data!P29&gt;0,INDEX(data!$E29:$H29,data!P29),""),"n/a"),"")</f>
        <v/>
      </c>
    </row>
    <row r="31" spans="3:14" s="2" customFormat="1" ht="16" customHeight="1" x14ac:dyDescent="0.2">
      <c r="C31" s="92"/>
      <c r="D31" s="386"/>
      <c r="E31" s="387"/>
      <c r="F31" s="92"/>
      <c r="G31" s="391" t="str">
        <f>IF(G$7&lt;=ActiveStage,IF(data!Y30,IF(data!I30&gt;0,INDEX(data!$E30:$H30,data!I30),""),"n/a"),"")</f>
        <v/>
      </c>
      <c r="H31" s="391" t="str">
        <f>IF(H$7&lt;=ActiveStage,IF(data!Z30,IF(data!J30&gt;0,INDEX(data!$E30:$H30,data!J30),""),"n/a"),"")</f>
        <v/>
      </c>
      <c r="I31" s="391" t="str">
        <f>IF(I$7&lt;=ActiveStage,IF(data!AA30,IF(data!K30&gt;0,INDEX(data!$E30:$H30,data!K30),""),"n/a"),"")</f>
        <v/>
      </c>
      <c r="J31" s="391" t="str">
        <f>IF(J$7&lt;=ActiveStage,IF(data!AB30,IF(data!L30&gt;0,INDEX(data!$E30:$H30,data!L30),""),"n/a"),"")</f>
        <v/>
      </c>
      <c r="K31" s="391" t="str">
        <f>IF(K$7&lt;=ActiveStage,IF(data!AC30,IF(data!M30&gt;0,INDEX(data!$E30:$H30,data!M30),""),"n/a"),"")</f>
        <v/>
      </c>
      <c r="L31" s="391" t="str">
        <f>IF(L$7&lt;=ActiveStage,IF(data!AD30,IF(data!N30&gt;0,INDEX(data!$E30:$H30,data!N30),""),"n/a"),"")</f>
        <v/>
      </c>
      <c r="M31" s="391" t="str">
        <f>IF(M$7&lt;=ActiveStage,IF(data!AE30,IF(data!O30&gt;0,INDEX(data!$E30:$H30,data!O30),""),"n/a"),"")</f>
        <v/>
      </c>
      <c r="N31" s="391" t="str">
        <f>IF(N$7&lt;=ActiveStage,IF(data!AF30,IF(data!P30&gt;0,INDEX(data!$E30:$H30,data!P30),""),"n/a"),"")</f>
        <v/>
      </c>
    </row>
    <row r="32" spans="3:14" ht="16" hidden="1" customHeight="1" x14ac:dyDescent="0.2">
      <c r="C32" s="17"/>
      <c r="D32" s="97"/>
      <c r="E32" s="354"/>
      <c r="F32" s="17"/>
      <c r="G32" s="344" t="str">
        <f>IF(G$7&lt;=ActiveStage,IF(data!Y31,IF(data!I31&gt;0,INDEX(data!$E31:$H31,data!I31),""),"n/a"),"")</f>
        <v/>
      </c>
      <c r="H32" s="344" t="str">
        <f>IF(H$7&lt;=ActiveStage,IF(data!Z31,IF(data!J31&gt;0,INDEX(data!$E31:$H31,data!J31),""),"n/a"),"")</f>
        <v/>
      </c>
      <c r="I32" s="344" t="str">
        <f>IF(I$7&lt;=ActiveStage,IF(data!AA31,IF(data!K31&gt;0,INDEX(data!$E31:$H31,data!K31),""),"n/a"),"")</f>
        <v/>
      </c>
      <c r="J32" s="344" t="str">
        <f>IF(J$7&lt;=ActiveStage,IF(data!AB31,IF(data!L31&gt;0,INDEX(data!$E31:$H31,data!L31),""),"n/a"),"")</f>
        <v/>
      </c>
      <c r="K32" s="344" t="str">
        <f>IF(K$7&lt;=ActiveStage,IF(data!AC31,IF(data!M31&gt;0,INDEX(data!$E31:$H31,data!M31),""),"n/a"),"")</f>
        <v/>
      </c>
      <c r="L32" s="344" t="str">
        <f>IF(L$7&lt;=ActiveStage,IF(data!AD31,IF(data!N31&gt;0,INDEX(data!$E31:$H31,data!N31),""),"n/a"),"")</f>
        <v/>
      </c>
      <c r="M32" s="344" t="str">
        <f>IF(M$7&lt;=ActiveStage,IF(data!AE31,IF(data!O31&gt;0,INDEX(data!$E31:$H31,data!O31),""),"n/a"),"")</f>
        <v/>
      </c>
      <c r="N32" s="344" t="str">
        <f>IF(N$7&lt;=ActiveStage,IF(data!AF31,IF(data!P31&gt;0,INDEX(data!$E31:$H31,data!P31),""),"n/a"),"")</f>
        <v/>
      </c>
    </row>
    <row r="33" spans="3:14" ht="16" customHeight="1" x14ac:dyDescent="0.2">
      <c r="C33" s="537" t="str">
        <f>Stage!C36</f>
        <v>B</v>
      </c>
      <c r="D33" s="98" t="str">
        <f>data!C32</f>
        <v>B1</v>
      </c>
      <c r="E33" s="374" t="str">
        <f>data!D32</f>
        <v>OpEx carries significant weighting in tender scoring</v>
      </c>
      <c r="F33" s="17"/>
      <c r="G33" s="378" t="str">
        <f>IF(G$7&lt;=ActiveStage,IF(data!Y32,IF(data!I32&gt;0,INDEX(data!$E32:$H32,data!I32),""),"n/a"),"")</f>
        <v>n/a</v>
      </c>
      <c r="H33" s="379" t="str">
        <f>IF(H$7&lt;=ActiveStage,IF(data!Z32,IF(data!J32&gt;0,INDEX(data!$E32:$H32,data!J32),""),"n/a"),"")</f>
        <v/>
      </c>
      <c r="I33" s="379" t="str">
        <f>IF(I$7&lt;=ActiveStage,IF(data!AA32,IF(data!K32&gt;0,INDEX(data!$E32:$H32,data!K32),""),"n/a"),"")</f>
        <v/>
      </c>
      <c r="J33" s="379" t="str">
        <f>IF(J$7&lt;=ActiveStage,IF(data!AB32,IF(data!L32&gt;0,INDEX(data!$E32:$H32,data!L32),""),"n/a"),"")</f>
        <v/>
      </c>
      <c r="K33" s="379" t="str">
        <f>IF(K$7&lt;=ActiveStage,IF(data!AC32,IF(data!M32&gt;0,INDEX(data!$E32:$H32,data!M32),""),"n/a"),"")</f>
        <v/>
      </c>
      <c r="L33" s="379" t="str">
        <f>IF(L$7&lt;=ActiveStage,IF(data!AD32,IF(data!N32&gt;0,INDEX(data!$E32:$H32,data!N32),""),"n/a"),"")</f>
        <v/>
      </c>
      <c r="M33" s="379" t="str">
        <f>IF(M$7&lt;=ActiveStage,IF(data!AE32,IF(data!O32&gt;0,INDEX(data!$E32:$H32,data!O32),""),"n/a"),"")</f>
        <v/>
      </c>
      <c r="N33" s="380" t="str">
        <f>IF(N$7&lt;=ActiveStage,IF(data!AF32,IF(data!P32&gt;0,INDEX(data!$E32:$H32,data!P32),""),"n/a"),"")</f>
        <v/>
      </c>
    </row>
    <row r="34" spans="3:14" ht="16" customHeight="1" x14ac:dyDescent="0.2">
      <c r="C34" s="537"/>
      <c r="D34" s="105" t="str">
        <f>data!C33</f>
        <v>B2</v>
      </c>
      <c r="E34" s="375" t="str">
        <f>data!D33</f>
        <v>Clerk of Works / independent inspector will be appointed</v>
      </c>
      <c r="F34" s="17"/>
      <c r="G34" s="381" t="str">
        <f>IF(G$7&lt;=ActiveStage,IF(data!Y33,IF(data!I33&gt;0,INDEX(data!$E33:$H33,data!I33),""),"n/a"),"")</f>
        <v/>
      </c>
      <c r="H34" s="346" t="str">
        <f>IF(H$7&lt;=ActiveStage,IF(data!Z33,IF(data!J33&gt;0,INDEX(data!$E33:$H33,data!J33),""),"n/a"),"")</f>
        <v/>
      </c>
      <c r="I34" s="346" t="str">
        <f>IF(I$7&lt;=ActiveStage,IF(data!AA33,IF(data!K33&gt;0,INDEX(data!$E33:$H33,data!K33),""),"n/a"),"")</f>
        <v/>
      </c>
      <c r="J34" s="346" t="str">
        <f>IF(J$7&lt;=ActiveStage,IF(data!AB33,IF(data!L33&gt;0,INDEX(data!$E33:$H33,data!L33),""),"n/a"),"")</f>
        <v/>
      </c>
      <c r="K34" s="346" t="str">
        <f>IF(K$7&lt;=ActiveStage,IF(data!AC33,IF(data!M33&gt;0,INDEX(data!$E33:$H33,data!M33),""),"n/a"),"")</f>
        <v/>
      </c>
      <c r="L34" s="346" t="str">
        <f>IF(L$7&lt;=ActiveStage,IF(data!AD33,IF(data!N33&gt;0,INDEX(data!$E33:$H33,data!N33),""),"n/a"),"")</f>
        <v/>
      </c>
      <c r="M34" s="346" t="str">
        <f>IF(M$7&lt;=ActiveStage,IF(data!AE33,IF(data!O33&gt;0,INDEX(data!$E33:$H33,data!O33),""),"n/a"),"")</f>
        <v/>
      </c>
      <c r="N34" s="382" t="str">
        <f>IF(N$7&lt;=ActiveStage,IF(data!AF33,IF(data!P33&gt;0,INDEX(data!$E33:$H33,data!P33),""),"n/a"),"")</f>
        <v/>
      </c>
    </row>
    <row r="35" spans="3:14" ht="16" customHeight="1" x14ac:dyDescent="0.2">
      <c r="C35" s="537"/>
      <c r="D35" s="105" t="str">
        <f>data!C34</f>
        <v>B3</v>
      </c>
      <c r="E35" s="375" t="str">
        <f>data!D34</f>
        <v>Soft landings process implemented</v>
      </c>
      <c r="F35" s="17"/>
      <c r="G35" s="381" t="str">
        <f>IF(G$7&lt;=ActiveStage,IF(data!Y34,IF(data!I34&gt;0,INDEX(data!$E34:$H34,data!I34),""),"n/a"),"")</f>
        <v>n/a</v>
      </c>
      <c r="H35" s="346" t="str">
        <f>IF(H$7&lt;=ActiveStage,IF(data!Z34,IF(data!J34&gt;0,INDEX(data!$E34:$H34,data!J34),""),"n/a"),"")</f>
        <v/>
      </c>
      <c r="I35" s="346" t="str">
        <f>IF(I$7&lt;=ActiveStage,IF(data!AA34,IF(data!K34&gt;0,INDEX(data!$E34:$H34,data!K34),""),"n/a"),"")</f>
        <v/>
      </c>
      <c r="J35" s="346" t="str">
        <f>IF(J$7&lt;=ActiveStage,IF(data!AB34,IF(data!L34&gt;0,INDEX(data!$E34:$H34,data!L34),""),"n/a"),"")</f>
        <v/>
      </c>
      <c r="K35" s="346" t="str">
        <f>IF(K$7&lt;=ActiveStage,IF(data!AC34,IF(data!M34&gt;0,INDEX(data!$E34:$H34,data!M34),""),"n/a"),"")</f>
        <v/>
      </c>
      <c r="L35" s="346" t="str">
        <f>IF(L$7&lt;=ActiveStage,IF(data!AD34,IF(data!N34&gt;0,INDEX(data!$E34:$H34,data!N34),""),"n/a"),"")</f>
        <v/>
      </c>
      <c r="M35" s="346" t="str">
        <f>IF(M$7&lt;=ActiveStage,IF(data!AE34,IF(data!O34&gt;0,INDEX(data!$E34:$H34,data!O34),""),"n/a"),"")</f>
        <v/>
      </c>
      <c r="N35" s="382" t="str">
        <f>IF(N$7&lt;=ActiveStage,IF(data!AF34,IF(data!P34&gt;0,INDEX(data!$E34:$H34,data!P34),""),"n/a"),"")</f>
        <v/>
      </c>
    </row>
    <row r="36" spans="3:14" ht="16" customHeight="1" x14ac:dyDescent="0.2">
      <c r="C36" s="536" t="str">
        <f>Stage!D36</f>
        <v>Attitude to Maintenance &amp; Longevity</v>
      </c>
      <c r="D36" s="105" t="str">
        <f>data!C35</f>
        <v>B4</v>
      </c>
      <c r="E36" s="375" t="str">
        <f>data!D35</f>
        <v>Warranty provider has active role in materials selection</v>
      </c>
      <c r="F36" s="17"/>
      <c r="G36" s="381" t="str">
        <f>IF(G$7&lt;=ActiveStage,IF(data!Y35,IF(data!I35&gt;0,INDEX(data!$E35:$H35,data!I35),""),"n/a"),"")</f>
        <v>n/a</v>
      </c>
      <c r="H36" s="346" t="str">
        <f>IF(H$7&lt;=ActiveStage,IF(data!Z35,IF(data!J35&gt;0,INDEX(data!$E35:$H35,data!J35),""),"n/a"),"")</f>
        <v/>
      </c>
      <c r="I36" s="346" t="str">
        <f>IF(I$7&lt;=ActiveStage,IF(data!AA35,IF(data!K35&gt;0,INDEX(data!$E35:$H35,data!K35),""),"n/a"),"")</f>
        <v/>
      </c>
      <c r="J36" s="346" t="str">
        <f>IF(J$7&lt;=ActiveStage,IF(data!AB35,IF(data!L35&gt;0,INDEX(data!$E35:$H35,data!L35),""),"n/a"),"")</f>
        <v/>
      </c>
      <c r="K36" s="346" t="str">
        <f>IF(K$7&lt;=ActiveStage,IF(data!AC35,IF(data!M35&gt;0,INDEX(data!$E35:$H35,data!M35),""),"n/a"),"")</f>
        <v/>
      </c>
      <c r="L36" s="346" t="str">
        <f>IF(L$7&lt;=ActiveStage,IF(data!AD35,IF(data!N35&gt;0,INDEX(data!$E35:$H35,data!N35),""),"n/a"),"")</f>
        <v/>
      </c>
      <c r="M36" s="346" t="str">
        <f>IF(M$7&lt;=ActiveStage,IF(data!AE35,IF(data!O35&gt;0,INDEX(data!$E35:$H35,data!O35),""),"n/a"),"")</f>
        <v/>
      </c>
      <c r="N36" s="382" t="str">
        <f>IF(N$7&lt;=ActiveStage,IF(data!AF35,IF(data!P35&gt;0,INDEX(data!$E35:$H35,data!P35),""),"n/a"),"")</f>
        <v/>
      </c>
    </row>
    <row r="37" spans="3:14" ht="16" customHeight="1" x14ac:dyDescent="0.2">
      <c r="C37" s="536"/>
      <c r="D37" s="105" t="str">
        <f>data!C36</f>
        <v>B5</v>
      </c>
      <c r="E37" s="375" t="str">
        <f>data!D36</f>
        <v>As-built works and materials conform to Building Control approved drawings</v>
      </c>
      <c r="F37" s="17"/>
      <c r="G37" s="381" t="str">
        <f>IF(G$7&lt;=ActiveStage,IF(data!Y36,IF(data!I36&gt;0,INDEX(data!$E36:$H36,data!I36),""),"n/a"),"")</f>
        <v>n/a</v>
      </c>
      <c r="H37" s="346" t="str">
        <f>IF(H$7&lt;=ActiveStage,IF(data!Z36,IF(data!J36&gt;0,INDEX(data!$E36:$H36,data!J36),""),"n/a"),"")</f>
        <v/>
      </c>
      <c r="I37" s="346" t="str">
        <f>IF(I$7&lt;=ActiveStage,IF(data!AA36,IF(data!K36&gt;0,INDEX(data!$E36:$H36,data!K36),""),"n/a"),"")</f>
        <v/>
      </c>
      <c r="J37" s="346" t="str">
        <f>IF(J$7&lt;=ActiveStage,IF(data!AB36,IF(data!L36&gt;0,INDEX(data!$E36:$H36,data!L36),""),"n/a"),"")</f>
        <v/>
      </c>
      <c r="K37" s="346" t="str">
        <f>IF(K$7&lt;=ActiveStage,IF(data!AC36,IF(data!M36&gt;0,INDEX(data!$E36:$H36,data!M36),""),"n/a"),"")</f>
        <v/>
      </c>
      <c r="L37" s="346" t="str">
        <f>IF(L$7&lt;=ActiveStage,IF(data!AD36,IF(data!N36&gt;0,INDEX(data!$E36:$H36,data!N36),""),"n/a"),"")</f>
        <v/>
      </c>
      <c r="M37" s="346" t="str">
        <f>IF(M$7&lt;=ActiveStage,IF(data!AE36,IF(data!O36&gt;0,INDEX(data!$E36:$H36,data!O36),""),"n/a"),"")</f>
        <v/>
      </c>
      <c r="N37" s="382" t="str">
        <f>IF(N$7&lt;=ActiveStage,IF(data!AF36,IF(data!P36&gt;0,INDEX(data!$E36:$H36,data!P36),""),"n/a"),"")</f>
        <v/>
      </c>
    </row>
    <row r="38" spans="3:14" ht="16" customHeight="1" x14ac:dyDescent="0.2">
      <c r="C38" s="536"/>
      <c r="D38" s="105" t="str">
        <f>data!C37</f>
        <v>B6</v>
      </c>
      <c r="E38" s="375" t="str">
        <f>data!D37</f>
        <v>FM team active in design decisions and commissioning process</v>
      </c>
      <c r="F38" s="17"/>
      <c r="G38" s="381" t="str">
        <f>IF(G$7&lt;=ActiveStage,IF(data!Y37,IF(data!I37&gt;0,INDEX(data!$E37:$H37,data!I37),""),"n/a"),"")</f>
        <v>n/a</v>
      </c>
      <c r="H38" s="346" t="str">
        <f>IF(H$7&lt;=ActiveStage,IF(data!Z37,IF(data!J37&gt;0,INDEX(data!$E37:$H37,data!J37),""),"n/a"),"")</f>
        <v/>
      </c>
      <c r="I38" s="346" t="str">
        <f>IF(I$7&lt;=ActiveStage,IF(data!AA37,IF(data!K37&gt;0,INDEX(data!$E37:$H37,data!K37),""),"n/a"),"")</f>
        <v/>
      </c>
      <c r="J38" s="346" t="str">
        <f>IF(J$7&lt;=ActiveStage,IF(data!AB37,IF(data!L37&gt;0,INDEX(data!$E37:$H37,data!L37),""),"n/a"),"")</f>
        <v/>
      </c>
      <c r="K38" s="346" t="str">
        <f>IF(K$7&lt;=ActiveStage,IF(data!AC37,IF(data!M37&gt;0,INDEX(data!$E37:$H37,data!M37),""),"n/a"),"")</f>
        <v/>
      </c>
      <c r="L38" s="346" t="str">
        <f>IF(L$7&lt;=ActiveStage,IF(data!AD37,IF(data!N37&gt;0,INDEX(data!$E37:$H37,data!N37),""),"n/a"),"")</f>
        <v/>
      </c>
      <c r="M38" s="346" t="str">
        <f>IF(M$7&lt;=ActiveStage,IF(data!AE37,IF(data!O37&gt;0,INDEX(data!$E37:$H37,data!O37),""),"n/a"),"")</f>
        <v/>
      </c>
      <c r="N38" s="382" t="str">
        <f>IF(N$7&lt;=ActiveStage,IF(data!AF37,IF(data!P37&gt;0,INDEX(data!$E37:$H37,data!P37),""),"n/a"),"")</f>
        <v/>
      </c>
    </row>
    <row r="39" spans="3:14" ht="16" customHeight="1" x14ac:dyDescent="0.2">
      <c r="C39" s="536"/>
      <c r="D39" s="105" t="str">
        <f>data!C38</f>
        <v>B7</v>
      </c>
      <c r="E39" s="375" t="str">
        <f>data!D38</f>
        <v>FM team involved in POE process</v>
      </c>
      <c r="F39" s="17"/>
      <c r="G39" s="381" t="str">
        <f>IF(G$7&lt;=ActiveStage,IF(data!Y38,IF(data!I38&gt;0,INDEX(data!$E38:$H38,data!I38),""),"n/a"),"")</f>
        <v>n/a</v>
      </c>
      <c r="H39" s="346" t="str">
        <f>IF(H$7&lt;=ActiveStage,IF(data!Z38,IF(data!J38&gt;0,INDEX(data!$E38:$H38,data!J38),""),"n/a"),"")</f>
        <v/>
      </c>
      <c r="I39" s="346" t="str">
        <f>IF(I$7&lt;=ActiveStage,IF(data!AA38,IF(data!K38&gt;0,INDEX(data!$E38:$H38,data!K38),""),"n/a"),"")</f>
        <v/>
      </c>
      <c r="J39" s="346" t="str">
        <f>IF(J$7&lt;=ActiveStage,IF(data!AB38,IF(data!L38&gt;0,INDEX(data!$E38:$H38,data!L38),""),"n/a"),"")</f>
        <v/>
      </c>
      <c r="K39" s="346" t="str">
        <f>IF(K$7&lt;=ActiveStage,IF(data!AC38,IF(data!M38&gt;0,INDEX(data!$E38:$H38,data!M38),""),"n/a"),"")</f>
        <v/>
      </c>
      <c r="L39" s="346" t="str">
        <f>IF(L$7&lt;=ActiveStage,IF(data!AD38,IF(data!N38&gt;0,INDEX(data!$E38:$H38,data!N38),""),"n/a"),"")</f>
        <v/>
      </c>
      <c r="M39" s="346" t="str">
        <f>IF(M$7&lt;=ActiveStage,IF(data!AE38,IF(data!O38&gt;0,INDEX(data!$E38:$H38,data!O38),""),"n/a"),"")</f>
        <v/>
      </c>
      <c r="N39" s="382" t="str">
        <f>IF(N$7&lt;=ActiveStage,IF(data!AF38,IF(data!P38&gt;0,INDEX(data!$E38:$H38,data!P38),""),"n/a"),"")</f>
        <v/>
      </c>
    </row>
    <row r="40" spans="3:14" ht="16" customHeight="1" x14ac:dyDescent="0.2">
      <c r="C40" s="536"/>
      <c r="D40" s="105" t="str">
        <f>data!C39</f>
        <v>B8</v>
      </c>
      <c r="E40" s="375" t="str">
        <f>data!D39</f>
        <v>POE includes user / occupier satisfaction survey</v>
      </c>
      <c r="F40" s="17"/>
      <c r="G40" s="381" t="str">
        <f>IF(G$7&lt;=ActiveStage,IF(data!Y39,IF(data!I39&gt;0,INDEX(data!$E39:$H39,data!I39),""),"n/a"),"")</f>
        <v>n/a</v>
      </c>
      <c r="H40" s="346" t="str">
        <f>IF(H$7&lt;=ActiveStage,IF(data!Z39,IF(data!J39&gt;0,INDEX(data!$E39:$H39,data!J39),""),"n/a"),"")</f>
        <v/>
      </c>
      <c r="I40" s="346" t="str">
        <f>IF(I$7&lt;=ActiveStage,IF(data!AA39,IF(data!K39&gt;0,INDEX(data!$E39:$H39,data!K39),""),"n/a"),"")</f>
        <v/>
      </c>
      <c r="J40" s="346" t="str">
        <f>IF(J$7&lt;=ActiveStage,IF(data!AB39,IF(data!L39&gt;0,INDEX(data!$E39:$H39,data!L39),""),"n/a"),"")</f>
        <v/>
      </c>
      <c r="K40" s="346" t="str">
        <f>IF(K$7&lt;=ActiveStage,IF(data!AC39,IF(data!M39&gt;0,INDEX(data!$E39:$H39,data!M39),""),"n/a"),"")</f>
        <v/>
      </c>
      <c r="L40" s="346" t="str">
        <f>IF(L$7&lt;=ActiveStage,IF(data!AD39,IF(data!N39&gt;0,INDEX(data!$E39:$H39,data!N39),""),"n/a"),"")</f>
        <v/>
      </c>
      <c r="M40" s="346" t="str">
        <f>IF(M$7&lt;=ActiveStage,IF(data!AE39,IF(data!O39&gt;0,INDEX(data!$E39:$H39,data!O39),""),"n/a"),"")</f>
        <v/>
      </c>
      <c r="N40" s="382" t="str">
        <f>IF(N$7&lt;=ActiveStage,IF(data!AF39,IF(data!P39&gt;0,INDEX(data!$E39:$H39,data!P39),""),"n/a"),"")</f>
        <v/>
      </c>
    </row>
    <row r="41" spans="3:14" ht="16" customHeight="1" x14ac:dyDescent="0.2">
      <c r="C41" s="349"/>
      <c r="D41" s="105" t="str">
        <f>data!C40</f>
        <v>B9</v>
      </c>
      <c r="E41" s="375" t="str">
        <f>data!D40</f>
        <v>POE feedback acted upon</v>
      </c>
      <c r="F41" s="17"/>
      <c r="G41" s="381" t="str">
        <f>IF(G$7&lt;=ActiveStage,IF(data!Y40,IF(data!I40&gt;0,INDEX(data!$E40:$H40,data!I40),""),"n/a"),"")</f>
        <v>n/a</v>
      </c>
      <c r="H41" s="346" t="str">
        <f>IF(H$7&lt;=ActiveStage,IF(data!Z40,IF(data!J40&gt;0,INDEX(data!$E40:$H40,data!J40),""),"n/a"),"")</f>
        <v/>
      </c>
      <c r="I41" s="346" t="str">
        <f>IF(I$7&lt;=ActiveStage,IF(data!AA40,IF(data!K40&gt;0,INDEX(data!$E40:$H40,data!K40),""),"n/a"),"")</f>
        <v/>
      </c>
      <c r="J41" s="346" t="str">
        <f>IF(J$7&lt;=ActiveStage,IF(data!AB40,IF(data!L40&gt;0,INDEX(data!$E40:$H40,data!L40),""),"n/a"),"")</f>
        <v/>
      </c>
      <c r="K41" s="346" t="str">
        <f>IF(K$7&lt;=ActiveStage,IF(data!AC40,IF(data!M40&gt;0,INDEX(data!$E40:$H40,data!M40),""),"n/a"),"")</f>
        <v/>
      </c>
      <c r="L41" s="346" t="str">
        <f>IF(L$7&lt;=ActiveStage,IF(data!AD40,IF(data!N40&gt;0,INDEX(data!$E40:$H40,data!N40),""),"n/a"),"")</f>
        <v/>
      </c>
      <c r="M41" s="346" t="str">
        <f>IF(M$7&lt;=ActiveStage,IF(data!AE40,IF(data!O40&gt;0,INDEX(data!$E40:$H40,data!O40),""),"n/a"),"")</f>
        <v/>
      </c>
      <c r="N41" s="382" t="str">
        <f>IF(N$7&lt;=ActiveStage,IF(data!AF40,IF(data!P40&gt;0,INDEX(data!$E40:$H40,data!P40),""),"n/a"),"")</f>
        <v/>
      </c>
    </row>
    <row r="42" spans="3:14" ht="16" customHeight="1" x14ac:dyDescent="0.2">
      <c r="C42" s="349"/>
      <c r="D42" s="105" t="str">
        <f>data!C41</f>
        <v>B10</v>
      </c>
      <c r="E42" s="375" t="str">
        <f>data!D41</f>
        <v>Defects rectified and validated</v>
      </c>
      <c r="F42" s="17"/>
      <c r="G42" s="381" t="str">
        <f>IF(G$7&lt;=ActiveStage,IF(data!Y41,IF(data!I41&gt;0,INDEX(data!$E41:$H41,data!I41),""),"n/a"),"")</f>
        <v>n/a</v>
      </c>
      <c r="H42" s="346" t="str">
        <f>IF(H$7&lt;=ActiveStage,IF(data!Z41,IF(data!J41&gt;0,INDEX(data!$E41:$H41,data!J41),""),"n/a"),"")</f>
        <v/>
      </c>
      <c r="I42" s="346" t="str">
        <f>IF(I$7&lt;=ActiveStage,IF(data!AA41,IF(data!K41&gt;0,INDEX(data!$E41:$H41,data!K41),""),"n/a"),"")</f>
        <v/>
      </c>
      <c r="J42" s="346" t="str">
        <f>IF(J$7&lt;=ActiveStage,IF(data!AB41,IF(data!L41&gt;0,INDEX(data!$E41:$H41,data!L41),""),"n/a"),"")</f>
        <v/>
      </c>
      <c r="K42" s="346" t="str">
        <f>IF(K$7&lt;=ActiveStage,IF(data!AC41,IF(data!M41&gt;0,INDEX(data!$E41:$H41,data!M41),""),"n/a"),"")</f>
        <v/>
      </c>
      <c r="L42" s="346" t="str">
        <f>IF(L$7&lt;=ActiveStage,IF(data!AD41,IF(data!N41&gt;0,INDEX(data!$E41:$H41,data!N41),""),"n/a"),"")</f>
        <v/>
      </c>
      <c r="M42" s="346" t="str">
        <f>IF(M$7&lt;=ActiveStage,IF(data!AE41,IF(data!O41&gt;0,INDEX(data!$E41:$H41,data!O41),""),"n/a"),"")</f>
        <v/>
      </c>
      <c r="N42" s="382" t="str">
        <f>IF(N$7&lt;=ActiveStage,IF(data!AF41,IF(data!P41&gt;0,INDEX(data!$E41:$H41,data!P41),""),"n/a"),"")</f>
        <v/>
      </c>
    </row>
    <row r="43" spans="3:14" ht="16" customHeight="1" x14ac:dyDescent="0.2">
      <c r="C43" s="349"/>
      <c r="D43" s="105" t="str">
        <f>data!C42</f>
        <v>B11</v>
      </c>
      <c r="E43" s="375" t="str">
        <f>data!D42</f>
        <v>Exercise conducted on lessons learned from previous projects</v>
      </c>
      <c r="F43" s="17"/>
      <c r="G43" s="381" t="str">
        <f>IF(G$7&lt;=ActiveStage,IF(data!Y42,IF(data!I42&gt;0,INDEX(data!$E42:$H42,data!I42),""),"n/a"),"")</f>
        <v/>
      </c>
      <c r="H43" s="346" t="str">
        <f>IF(H$7&lt;=ActiveStage,IF(data!Z42,IF(data!J42&gt;0,INDEX(data!$E42:$H42,data!J42),""),"n/a"),"")</f>
        <v/>
      </c>
      <c r="I43" s="346" t="str">
        <f>IF(I$7&lt;=ActiveStage,IF(data!AA42,IF(data!K42&gt;0,INDEX(data!$E42:$H42,data!K42),""),"n/a"),"")</f>
        <v/>
      </c>
      <c r="J43" s="346" t="str">
        <f>IF(J$7&lt;=ActiveStage,IF(data!AB42,IF(data!L42&gt;0,INDEX(data!$E42:$H42,data!L42),""),"n/a"),"")</f>
        <v/>
      </c>
      <c r="K43" s="346" t="str">
        <f>IF(K$7&lt;=ActiveStage,IF(data!AC42,IF(data!M42&gt;0,INDEX(data!$E42:$H42,data!M42),""),"n/a"),"")</f>
        <v/>
      </c>
      <c r="L43" s="346" t="str">
        <f>IF(L$7&lt;=ActiveStage,IF(data!AD42,IF(data!N42&gt;0,INDEX(data!$E42:$H42,data!N42),""),"n/a"),"")</f>
        <v/>
      </c>
      <c r="M43" s="346" t="str">
        <f>IF(M$7&lt;=ActiveStage,IF(data!AE42,IF(data!O42&gt;0,INDEX(data!$E42:$H42,data!O42),""),"n/a"),"")</f>
        <v/>
      </c>
      <c r="N43" s="382" t="str">
        <f>IF(N$7&lt;=ActiveStage,IF(data!AF42,IF(data!P42&gt;0,INDEX(data!$E42:$H42,data!P42),""),"n/a"),"")</f>
        <v/>
      </c>
    </row>
    <row r="44" spans="3:14" ht="16" customHeight="1" x14ac:dyDescent="0.2">
      <c r="C44" s="349"/>
      <c r="D44" s="105" t="str">
        <f>data!C43</f>
        <v>B12</v>
      </c>
      <c r="E44" s="375" t="str">
        <f>data!D43</f>
        <v>H&amp;S issues identified and mitigated</v>
      </c>
      <c r="F44" s="17"/>
      <c r="G44" s="381" t="str">
        <f>IF(G$7&lt;=ActiveStage,IF(data!Y43,IF(data!I43&gt;0,INDEX(data!$E43:$H43,data!I43),""),"n/a"),"")</f>
        <v/>
      </c>
      <c r="H44" s="346" t="str">
        <f>IF(H$7&lt;=ActiveStage,IF(data!Z43,IF(data!J43&gt;0,INDEX(data!$E43:$H43,data!J43),""),"n/a"),"")</f>
        <v/>
      </c>
      <c r="I44" s="346" t="str">
        <f>IF(I$7&lt;=ActiveStage,IF(data!AA43,IF(data!K43&gt;0,INDEX(data!$E43:$H43,data!K43),""),"n/a"),"")</f>
        <v/>
      </c>
      <c r="J44" s="346" t="str">
        <f>IF(J$7&lt;=ActiveStage,IF(data!AB43,IF(data!L43&gt;0,INDEX(data!$E43:$H43,data!L43),""),"n/a"),"")</f>
        <v/>
      </c>
      <c r="K44" s="346" t="str">
        <f>IF(K$7&lt;=ActiveStage,IF(data!AC43,IF(data!M43&gt;0,INDEX(data!$E43:$H43,data!M43),""),"n/a"),"")</f>
        <v/>
      </c>
      <c r="L44" s="346" t="str">
        <f>IF(L$7&lt;=ActiveStage,IF(data!AD43,IF(data!N43&gt;0,INDEX(data!$E43:$H43,data!N43),""),"n/a"),"")</f>
        <v/>
      </c>
      <c r="M44" s="346" t="str">
        <f>IF(M$7&lt;=ActiveStage,IF(data!AE43,IF(data!O43&gt;0,INDEX(data!$E43:$H43,data!O43),""),"n/a"),"")</f>
        <v/>
      </c>
      <c r="N44" s="382" t="str">
        <f>IF(N$7&lt;=ActiveStage,IF(data!AF43,IF(data!P43&gt;0,INDEX(data!$E43:$H43,data!P43),""),"n/a"),"")</f>
        <v/>
      </c>
    </row>
    <row r="45" spans="3:14" ht="16" hidden="1" customHeight="1" x14ac:dyDescent="0.2">
      <c r="C45" s="349"/>
      <c r="D45" s="105" t="str">
        <f>data!C44</f>
        <v>B13</v>
      </c>
      <c r="E45" s="375">
        <f>data!D44</f>
        <v>0</v>
      </c>
      <c r="F45" s="17"/>
      <c r="G45" s="381" t="str">
        <f>IF(G$7&lt;=ActiveStage,IF(data!Y44,IF(data!I44&gt;0,INDEX(data!$E44:$H44,data!I44),""),"n/a"),"")</f>
        <v/>
      </c>
      <c r="H45" s="346" t="str">
        <f>IF(H$7&lt;=ActiveStage,IF(data!Z44,IF(data!J44&gt;0,INDEX(data!$E44:$H44,data!J44),""),"n/a"),"")</f>
        <v/>
      </c>
      <c r="I45" s="346" t="str">
        <f>IF(I$7&lt;=ActiveStage,IF(data!AA44,IF(data!K44&gt;0,INDEX(data!$E44:$H44,data!K44),""),"n/a"),"")</f>
        <v/>
      </c>
      <c r="J45" s="346" t="str">
        <f>IF(J$7&lt;=ActiveStage,IF(data!AB44,IF(data!L44&gt;0,INDEX(data!$E44:$H44,data!L44),""),"n/a"),"")</f>
        <v/>
      </c>
      <c r="K45" s="346" t="str">
        <f>IF(K$7&lt;=ActiveStage,IF(data!AC44,IF(data!M44&gt;0,INDEX(data!$E44:$H44,data!M44),""),"n/a"),"")</f>
        <v/>
      </c>
      <c r="L45" s="346" t="str">
        <f>IF(L$7&lt;=ActiveStage,IF(data!AD44,IF(data!N44&gt;0,INDEX(data!$E44:$H44,data!N44),""),"n/a"),"")</f>
        <v/>
      </c>
      <c r="M45" s="346" t="str">
        <f>IF(M$7&lt;=ActiveStage,IF(data!AE44,IF(data!O44&gt;0,INDEX(data!$E44:$H44,data!O44),""),"n/a"),"")</f>
        <v/>
      </c>
      <c r="N45" s="382" t="str">
        <f>IF(N$7&lt;=ActiveStage,IF(data!AF44,IF(data!P44&gt;0,INDEX(data!$E44:$H44,data!P44),""),"n/a"),"")</f>
        <v/>
      </c>
    </row>
    <row r="46" spans="3:14" ht="16" hidden="1" customHeight="1" x14ac:dyDescent="0.2">
      <c r="C46" s="349"/>
      <c r="D46" s="105" t="str">
        <f>data!C45</f>
        <v>B14</v>
      </c>
      <c r="E46" s="375">
        <f>data!D45</f>
        <v>0</v>
      </c>
      <c r="F46" s="17"/>
      <c r="G46" s="381" t="str">
        <f>IF(G$7&lt;=ActiveStage,IF(data!Y45,IF(data!I45&gt;0,INDEX(data!$E45:$H45,data!I45),""),"n/a"),"")</f>
        <v/>
      </c>
      <c r="H46" s="346" t="str">
        <f>IF(H$7&lt;=ActiveStage,IF(data!Z45,IF(data!J45&gt;0,INDEX(data!$E45:$H45,data!J45),""),"n/a"),"")</f>
        <v/>
      </c>
      <c r="I46" s="346" t="str">
        <f>IF(I$7&lt;=ActiveStage,IF(data!AA45,IF(data!K45&gt;0,INDEX(data!$E45:$H45,data!K45),""),"n/a"),"")</f>
        <v/>
      </c>
      <c r="J46" s="346" t="str">
        <f>IF(J$7&lt;=ActiveStage,IF(data!AB45,IF(data!L45&gt;0,INDEX(data!$E45:$H45,data!L45),""),"n/a"),"")</f>
        <v/>
      </c>
      <c r="K46" s="346" t="str">
        <f>IF(K$7&lt;=ActiveStage,IF(data!AC45,IF(data!M45&gt;0,INDEX(data!$E45:$H45,data!M45),""),"n/a"),"")</f>
        <v/>
      </c>
      <c r="L46" s="346" t="str">
        <f>IF(L$7&lt;=ActiveStage,IF(data!AD45,IF(data!N45&gt;0,INDEX(data!$E45:$H45,data!N45),""),"n/a"),"")</f>
        <v/>
      </c>
      <c r="M46" s="346" t="str">
        <f>IF(M$7&lt;=ActiveStage,IF(data!AE45,IF(data!O45&gt;0,INDEX(data!$E45:$H45,data!O45),""),"n/a"),"")</f>
        <v/>
      </c>
      <c r="N46" s="382" t="str">
        <f>IF(N$7&lt;=ActiveStage,IF(data!AF45,IF(data!P45&gt;0,INDEX(data!$E45:$H45,data!P45),""),"n/a"),"")</f>
        <v/>
      </c>
    </row>
    <row r="47" spans="3:14" ht="16" hidden="1" customHeight="1" x14ac:dyDescent="0.2">
      <c r="C47" s="349"/>
      <c r="D47" s="105" t="str">
        <f>data!C46</f>
        <v>B15</v>
      </c>
      <c r="E47" s="375">
        <f>data!D46</f>
        <v>0</v>
      </c>
      <c r="F47" s="17"/>
      <c r="G47" s="381" t="str">
        <f>IF(G$7&lt;=ActiveStage,IF(data!Y46,IF(data!I46&gt;0,INDEX(data!$E46:$H46,data!I46),""),"n/a"),"")</f>
        <v/>
      </c>
      <c r="H47" s="346" t="str">
        <f>IF(H$7&lt;=ActiveStage,IF(data!Z46,IF(data!J46&gt;0,INDEX(data!$E46:$H46,data!J46),""),"n/a"),"")</f>
        <v/>
      </c>
      <c r="I47" s="346" t="str">
        <f>IF(I$7&lt;=ActiveStage,IF(data!AA46,IF(data!K46&gt;0,INDEX(data!$E46:$H46,data!K46),""),"n/a"),"")</f>
        <v/>
      </c>
      <c r="J47" s="346" t="str">
        <f>IF(J$7&lt;=ActiveStage,IF(data!AB46,IF(data!L46&gt;0,INDEX(data!$E46:$H46,data!L46),""),"n/a"),"")</f>
        <v/>
      </c>
      <c r="K47" s="346" t="str">
        <f>IF(K$7&lt;=ActiveStage,IF(data!AC46,IF(data!M46&gt;0,INDEX(data!$E46:$H46,data!M46),""),"n/a"),"")</f>
        <v/>
      </c>
      <c r="L47" s="346" t="str">
        <f>IF(L$7&lt;=ActiveStage,IF(data!AD46,IF(data!N46&gt;0,INDEX(data!$E46:$H46,data!N46),""),"n/a"),"")</f>
        <v/>
      </c>
      <c r="M47" s="346" t="str">
        <f>IF(M$7&lt;=ActiveStage,IF(data!AE46,IF(data!O46&gt;0,INDEX(data!$E46:$H46,data!O46),""),"n/a"),"")</f>
        <v/>
      </c>
      <c r="N47" s="382" t="str">
        <f>IF(N$7&lt;=ActiveStage,IF(data!AF46,IF(data!P46&gt;0,INDEX(data!$E46:$H46,data!P46),""),"n/a"),"")</f>
        <v/>
      </c>
    </row>
    <row r="48" spans="3:14" ht="16" hidden="1" customHeight="1" x14ac:dyDescent="0.2">
      <c r="C48" s="349"/>
      <c r="D48" s="105" t="str">
        <f>data!C47</f>
        <v>B16</v>
      </c>
      <c r="E48" s="375">
        <f>data!D47</f>
        <v>0</v>
      </c>
      <c r="F48" s="17"/>
      <c r="G48" s="381" t="str">
        <f>IF(G$7&lt;=ActiveStage,IF(data!Y47,IF(data!I47&gt;0,INDEX(data!$E47:$H47,data!I47),""),"n/a"),"")</f>
        <v/>
      </c>
      <c r="H48" s="346" t="str">
        <f>IF(H$7&lt;=ActiveStage,IF(data!Z47,IF(data!J47&gt;0,INDEX(data!$E47:$H47,data!J47),""),"n/a"),"")</f>
        <v/>
      </c>
      <c r="I48" s="346" t="str">
        <f>IF(I$7&lt;=ActiveStage,IF(data!AA47,IF(data!K47&gt;0,INDEX(data!$E47:$H47,data!K47),""),"n/a"),"")</f>
        <v/>
      </c>
      <c r="J48" s="346" t="str">
        <f>IF(J$7&lt;=ActiveStage,IF(data!AB47,IF(data!L47&gt;0,INDEX(data!$E47:$H47,data!L47),""),"n/a"),"")</f>
        <v/>
      </c>
      <c r="K48" s="346" t="str">
        <f>IF(K$7&lt;=ActiveStage,IF(data!AC47,IF(data!M47&gt;0,INDEX(data!$E47:$H47,data!M47),""),"n/a"),"")</f>
        <v/>
      </c>
      <c r="L48" s="346" t="str">
        <f>IF(L$7&lt;=ActiveStage,IF(data!AD47,IF(data!N47&gt;0,INDEX(data!$E47:$H47,data!N47),""),"n/a"),"")</f>
        <v/>
      </c>
      <c r="M48" s="346" t="str">
        <f>IF(M$7&lt;=ActiveStage,IF(data!AE47,IF(data!O47&gt;0,INDEX(data!$E47:$H47,data!O47),""),"n/a"),"")</f>
        <v/>
      </c>
      <c r="N48" s="382" t="str">
        <f>IF(N$7&lt;=ActiveStage,IF(data!AF47,IF(data!P47&gt;0,INDEX(data!$E47:$H47,data!P47),""),"n/a"),"")</f>
        <v/>
      </c>
    </row>
    <row r="49" spans="3:14" ht="16" hidden="1" customHeight="1" x14ac:dyDescent="0.2">
      <c r="C49" s="349"/>
      <c r="D49" s="105" t="str">
        <f>data!C48</f>
        <v>B17</v>
      </c>
      <c r="E49" s="375">
        <f>data!D48</f>
        <v>0</v>
      </c>
      <c r="F49" s="17"/>
      <c r="G49" s="381" t="str">
        <f>IF(G$7&lt;=ActiveStage,IF(data!Y48,IF(data!I48&gt;0,INDEX(data!$E48:$H48,data!I48),""),"n/a"),"")</f>
        <v/>
      </c>
      <c r="H49" s="346" t="str">
        <f>IF(H$7&lt;=ActiveStage,IF(data!Z48,IF(data!J48&gt;0,INDEX(data!$E48:$H48,data!J48),""),"n/a"),"")</f>
        <v/>
      </c>
      <c r="I49" s="346" t="str">
        <f>IF(I$7&lt;=ActiveStage,IF(data!AA48,IF(data!K48&gt;0,INDEX(data!$E48:$H48,data!K48),""),"n/a"),"")</f>
        <v/>
      </c>
      <c r="J49" s="346" t="str">
        <f>IF(J$7&lt;=ActiveStage,IF(data!AB48,IF(data!L48&gt;0,INDEX(data!$E48:$H48,data!L48),""),"n/a"),"")</f>
        <v/>
      </c>
      <c r="K49" s="346" t="str">
        <f>IF(K$7&lt;=ActiveStage,IF(data!AC48,IF(data!M48&gt;0,INDEX(data!$E48:$H48,data!M48),""),"n/a"),"")</f>
        <v/>
      </c>
      <c r="L49" s="346" t="str">
        <f>IF(L$7&lt;=ActiveStage,IF(data!AD48,IF(data!N48&gt;0,INDEX(data!$E48:$H48,data!N48),""),"n/a"),"")</f>
        <v/>
      </c>
      <c r="M49" s="346" t="str">
        <f>IF(M$7&lt;=ActiveStage,IF(data!AE48,IF(data!O48&gt;0,INDEX(data!$E48:$H48,data!O48),""),"n/a"),"")</f>
        <v/>
      </c>
      <c r="N49" s="382" t="str">
        <f>IF(N$7&lt;=ActiveStage,IF(data!AF48,IF(data!P48&gt;0,INDEX(data!$E48:$H48,data!P48),""),"n/a"),"")</f>
        <v/>
      </c>
    </row>
    <row r="50" spans="3:14" ht="16" hidden="1" customHeight="1" x14ac:dyDescent="0.2">
      <c r="C50" s="349"/>
      <c r="D50" s="105" t="str">
        <f>data!C49</f>
        <v>B18</v>
      </c>
      <c r="E50" s="375">
        <f>data!D49</f>
        <v>0</v>
      </c>
      <c r="F50" s="17"/>
      <c r="G50" s="381" t="str">
        <f>IF(G$7&lt;=ActiveStage,IF(data!Y49,IF(data!I49&gt;0,INDEX(data!$E49:$H49,data!I49),""),"n/a"),"")</f>
        <v/>
      </c>
      <c r="H50" s="346" t="str">
        <f>IF(H$7&lt;=ActiveStage,IF(data!Z49,IF(data!J49&gt;0,INDEX(data!$E49:$H49,data!J49),""),"n/a"),"")</f>
        <v/>
      </c>
      <c r="I50" s="346" t="str">
        <f>IF(I$7&lt;=ActiveStage,IF(data!AA49,IF(data!K49&gt;0,INDEX(data!$E49:$H49,data!K49),""),"n/a"),"")</f>
        <v/>
      </c>
      <c r="J50" s="346" t="str">
        <f>IF(J$7&lt;=ActiveStage,IF(data!AB49,IF(data!L49&gt;0,INDEX(data!$E49:$H49,data!L49),""),"n/a"),"")</f>
        <v/>
      </c>
      <c r="K50" s="346" t="str">
        <f>IF(K$7&lt;=ActiveStage,IF(data!AC49,IF(data!M49&gt;0,INDEX(data!$E49:$H49,data!M49),""),"n/a"),"")</f>
        <v/>
      </c>
      <c r="L50" s="346" t="str">
        <f>IF(L$7&lt;=ActiveStage,IF(data!AD49,IF(data!N49&gt;0,INDEX(data!$E49:$H49,data!N49),""),"n/a"),"")</f>
        <v/>
      </c>
      <c r="M50" s="346" t="str">
        <f>IF(M$7&lt;=ActiveStage,IF(data!AE49,IF(data!O49&gt;0,INDEX(data!$E49:$H49,data!O49),""),"n/a"),"")</f>
        <v/>
      </c>
      <c r="N50" s="382" t="str">
        <f>IF(N$7&lt;=ActiveStage,IF(data!AF49,IF(data!P49&gt;0,INDEX(data!$E49:$H49,data!P49),""),"n/a"),"")</f>
        <v/>
      </c>
    </row>
    <row r="51" spans="3:14" ht="16" hidden="1" customHeight="1" x14ac:dyDescent="0.2">
      <c r="C51" s="349"/>
      <c r="D51" s="105" t="str">
        <f>data!C50</f>
        <v>B19</v>
      </c>
      <c r="E51" s="375">
        <f>data!D50</f>
        <v>0</v>
      </c>
      <c r="F51" s="17"/>
      <c r="G51" s="381" t="str">
        <f>IF(G$7&lt;=ActiveStage,IF(data!Y50,IF(data!I50&gt;0,INDEX(data!$E50:$H50,data!I50),""),"n/a"),"")</f>
        <v/>
      </c>
      <c r="H51" s="346" t="str">
        <f>IF(H$7&lt;=ActiveStage,IF(data!Z50,IF(data!J50&gt;0,INDEX(data!$E50:$H50,data!J50),""),"n/a"),"")</f>
        <v/>
      </c>
      <c r="I51" s="346" t="str">
        <f>IF(I$7&lt;=ActiveStage,IF(data!AA50,IF(data!K50&gt;0,INDEX(data!$E50:$H50,data!K50),""),"n/a"),"")</f>
        <v/>
      </c>
      <c r="J51" s="346" t="str">
        <f>IF(J$7&lt;=ActiveStage,IF(data!AB50,IF(data!L50&gt;0,INDEX(data!$E50:$H50,data!L50),""),"n/a"),"")</f>
        <v/>
      </c>
      <c r="K51" s="346" t="str">
        <f>IF(K$7&lt;=ActiveStage,IF(data!AC50,IF(data!M50&gt;0,INDEX(data!$E50:$H50,data!M50),""),"n/a"),"")</f>
        <v/>
      </c>
      <c r="L51" s="346" t="str">
        <f>IF(L$7&lt;=ActiveStage,IF(data!AD50,IF(data!N50&gt;0,INDEX(data!$E50:$H50,data!N50),""),"n/a"),"")</f>
        <v/>
      </c>
      <c r="M51" s="346" t="str">
        <f>IF(M$7&lt;=ActiveStage,IF(data!AE50,IF(data!O50&gt;0,INDEX(data!$E50:$H50,data!O50),""),"n/a"),"")</f>
        <v/>
      </c>
      <c r="N51" s="382" t="str">
        <f>IF(N$7&lt;=ActiveStage,IF(data!AF50,IF(data!P50&gt;0,INDEX(data!$E50:$H50,data!P50),""),"n/a"),"")</f>
        <v/>
      </c>
    </row>
    <row r="52" spans="3:14" ht="16" hidden="1" customHeight="1" x14ac:dyDescent="0.2">
      <c r="C52" s="349"/>
      <c r="D52" s="112" t="str">
        <f>data!C51</f>
        <v>B20</v>
      </c>
      <c r="E52" s="376">
        <f>data!D51</f>
        <v>0</v>
      </c>
      <c r="F52" s="17"/>
      <c r="G52" s="383" t="str">
        <f>IF(G$7&lt;=ActiveStage,IF(data!Y51,IF(data!I51&gt;0,INDEX(data!$E51:$H51,data!I51),""),"n/a"),"")</f>
        <v/>
      </c>
      <c r="H52" s="384" t="str">
        <f>IF(H$7&lt;=ActiveStage,IF(data!Z51,IF(data!J51&gt;0,INDEX(data!$E51:$H51,data!J51),""),"n/a"),"")</f>
        <v/>
      </c>
      <c r="I52" s="384" t="str">
        <f>IF(I$7&lt;=ActiveStage,IF(data!AA51,IF(data!K51&gt;0,INDEX(data!$E51:$H51,data!K51),""),"n/a"),"")</f>
        <v/>
      </c>
      <c r="J52" s="384" t="str">
        <f>IF(J$7&lt;=ActiveStage,IF(data!AB51,IF(data!L51&gt;0,INDEX(data!$E51:$H51,data!L51),""),"n/a"),"")</f>
        <v/>
      </c>
      <c r="K52" s="384" t="str">
        <f>IF(K$7&lt;=ActiveStage,IF(data!AC51,IF(data!M51&gt;0,INDEX(data!$E51:$H51,data!M51),""),"n/a"),"")</f>
        <v/>
      </c>
      <c r="L52" s="384" t="str">
        <f>IF(L$7&lt;=ActiveStage,IF(data!AD51,IF(data!N51&gt;0,INDEX(data!$E51:$H51,data!N51),""),"n/a"),"")</f>
        <v/>
      </c>
      <c r="M52" s="384" t="str">
        <f>IF(M$7&lt;=ActiveStage,IF(data!AE51,IF(data!O51&gt;0,INDEX(data!$E51:$H51,data!O51),""),"n/a"),"")</f>
        <v/>
      </c>
      <c r="N52" s="385" t="str">
        <f>IF(N$7&lt;=ActiveStage,IF(data!AF51,IF(data!P51&gt;0,INDEX(data!$E51:$H51,data!P51),""),"n/a"),"")</f>
        <v/>
      </c>
    </row>
    <row r="53" spans="3:14" ht="16" customHeight="1" x14ac:dyDescent="0.2">
      <c r="C53" s="17"/>
      <c r="D53" s="392"/>
      <c r="E53" s="393"/>
      <c r="F53" s="17"/>
      <c r="G53" s="363" t="str">
        <f>IF(G$7&lt;=ActiveStage,IF(data!Y52,IF(data!I52&gt;0,INDEX(data!$E52:$H52,data!I52),""),"n/a"),"")</f>
        <v/>
      </c>
      <c r="H53" s="363" t="str">
        <f>IF(H$7&lt;=ActiveStage,IF(data!Z52,IF(data!J52&gt;0,INDEX(data!$E52:$H52,data!J52),""),"n/a"),"")</f>
        <v/>
      </c>
      <c r="I53" s="363" t="str">
        <f>IF(I$7&lt;=ActiveStage,IF(data!AA52,IF(data!K52&gt;0,INDEX(data!$E52:$H52,data!K52),""),"n/a"),"")</f>
        <v/>
      </c>
      <c r="J53" s="363" t="str">
        <f>IF(J$7&lt;=ActiveStage,IF(data!AB52,IF(data!L52&gt;0,INDEX(data!$E52:$H52,data!L52),""),"n/a"),"")</f>
        <v/>
      </c>
      <c r="K53" s="363" t="str">
        <f>IF(K$7&lt;=ActiveStage,IF(data!AC52,IF(data!M52&gt;0,INDEX(data!$E52:$H52,data!M52),""),"n/a"),"")</f>
        <v/>
      </c>
      <c r="L53" s="363" t="str">
        <f>IF(L$7&lt;=ActiveStage,IF(data!AD52,IF(data!N52&gt;0,INDEX(data!$E52:$H52,data!N52),""),"n/a"),"")</f>
        <v/>
      </c>
      <c r="M53" s="363" t="str">
        <f>IF(M$7&lt;=ActiveStage,IF(data!AE52,IF(data!O52&gt;0,INDEX(data!$E52:$H52,data!O52),""),"n/a"),"")</f>
        <v/>
      </c>
      <c r="N53" s="363" t="str">
        <f>IF(N$7&lt;=ActiveStage,IF(data!AF52,IF(data!P52&gt;0,INDEX(data!$E52:$H52,data!P52),""),"n/a"),"")</f>
        <v/>
      </c>
    </row>
    <row r="54" spans="3:14" ht="16" hidden="1" customHeight="1" x14ac:dyDescent="0.2">
      <c r="C54" s="17"/>
      <c r="D54" s="97"/>
      <c r="E54" s="354"/>
      <c r="F54" s="17"/>
      <c r="G54" s="347" t="str">
        <f>IF(G$7&lt;=ActiveStage,IF(data!Y53,IF(data!I53&gt;0,INDEX(data!$E53:$H53,data!I53),""),"n/a"),"")</f>
        <v/>
      </c>
      <c r="H54" s="347" t="str">
        <f>IF(H$7&lt;=ActiveStage,IF(data!Z53,IF(data!J53&gt;0,INDEX(data!$E53:$H53,data!J53),""),"n/a"),"")</f>
        <v/>
      </c>
      <c r="I54" s="347" t="str">
        <f>IF(I$7&lt;=ActiveStage,IF(data!AA53,IF(data!K53&gt;0,INDEX(data!$E53:$H53,data!K53),""),"n/a"),"")</f>
        <v/>
      </c>
      <c r="J54" s="347" t="str">
        <f>IF(J$7&lt;=ActiveStage,IF(data!AB53,IF(data!L53&gt;0,INDEX(data!$E53:$H53,data!L53),""),"n/a"),"")</f>
        <v/>
      </c>
      <c r="K54" s="347" t="str">
        <f>IF(K$7&lt;=ActiveStage,IF(data!AC53,IF(data!M53&gt;0,INDEX(data!$E53:$H53,data!M53),""),"n/a"),"")</f>
        <v/>
      </c>
      <c r="L54" s="347" t="str">
        <f>IF(L$7&lt;=ActiveStage,IF(data!AD53,IF(data!N53&gt;0,INDEX(data!$E53:$H53,data!N53),""),"n/a"),"")</f>
        <v/>
      </c>
      <c r="M54" s="347" t="str">
        <f>IF(M$7&lt;=ActiveStage,IF(data!AE53,IF(data!O53&gt;0,INDEX(data!$E53:$H53,data!O53),""),"n/a"),"")</f>
        <v/>
      </c>
      <c r="N54" s="347" t="str">
        <f>IF(N$7&lt;=ActiveStage,IF(data!AF53,IF(data!P53&gt;0,INDEX(data!$E53:$H53,data!P53),""),"n/a"),"")</f>
        <v/>
      </c>
    </row>
    <row r="55" spans="3:14" ht="16" customHeight="1" x14ac:dyDescent="0.2">
      <c r="C55" s="539" t="str">
        <f>Stage!C58</f>
        <v>C</v>
      </c>
      <c r="D55" s="119" t="str">
        <f>data!C54</f>
        <v>C1</v>
      </c>
      <c r="E55" s="394" t="str">
        <f>data!D54</f>
        <v>Client's budget can accommodate cost increases if it adds value</v>
      </c>
      <c r="F55" s="17"/>
      <c r="G55" s="397" t="str">
        <f>IF(G$7&lt;=ActiveStage,IF(data!Y54,IF(data!I54&gt;0,INDEX(data!$E54:$H54,data!I54),""),"n/a"),"")</f>
        <v/>
      </c>
      <c r="H55" s="398" t="str">
        <f>IF(H$7&lt;=ActiveStage,IF(data!Z54,IF(data!J54&gt;0,INDEX(data!$E54:$H54,data!J54),""),"n/a"),"")</f>
        <v/>
      </c>
      <c r="I55" s="398" t="str">
        <f>IF(I$7&lt;=ActiveStage,IF(data!AA54,IF(data!K54&gt;0,INDEX(data!$E54:$H54,data!K54),""),"n/a"),"")</f>
        <v/>
      </c>
      <c r="J55" s="398" t="str">
        <f>IF(J$7&lt;=ActiveStage,IF(data!AB54,IF(data!L54&gt;0,INDEX(data!$E54:$H54,data!L54),""),"n/a"),"")</f>
        <v/>
      </c>
      <c r="K55" s="398" t="str">
        <f>IF(K$7&lt;=ActiveStage,IF(data!AC54,IF(data!M54&gt;0,INDEX(data!$E54:$H54,data!M54),""),"n/a"),"")</f>
        <v/>
      </c>
      <c r="L55" s="398" t="str">
        <f>IF(L$7&lt;=ActiveStage,IF(data!AD54,IF(data!N54&gt;0,INDEX(data!$E54:$H54,data!N54),""),"n/a"),"")</f>
        <v/>
      </c>
      <c r="M55" s="398" t="str">
        <f>IF(M$7&lt;=ActiveStage,IF(data!AE54,IF(data!O54&gt;0,INDEX(data!$E54:$H54,data!O54),""),"n/a"),"")</f>
        <v/>
      </c>
      <c r="N55" s="399" t="str">
        <f>IF(N$7&lt;=ActiveStage,IF(data!AF54,IF(data!P54&gt;0,INDEX(data!$E54:$H54,data!P54),""),"n/a"),"")</f>
        <v/>
      </c>
    </row>
    <row r="56" spans="3:14" ht="16" customHeight="1" x14ac:dyDescent="0.2">
      <c r="C56" s="539"/>
      <c r="D56" s="126" t="str">
        <f>data!C55</f>
        <v>C2</v>
      </c>
      <c r="E56" s="395" t="str">
        <f>data!D55</f>
        <v>Project costs calculated cautiously per sqm and within budget</v>
      </c>
      <c r="F56" s="17"/>
      <c r="G56" s="400" t="str">
        <f>IF(G$7&lt;=ActiveStage,IF(data!Y55,IF(data!I55&gt;0,INDEX(data!$E55:$H55,data!I55),""),"n/a"),"")</f>
        <v/>
      </c>
      <c r="H56" s="346" t="str">
        <f>IF(H$7&lt;=ActiveStage,IF(data!Z55,IF(data!J55&gt;0,INDEX(data!$E55:$H55,data!J55),""),"n/a"),"")</f>
        <v/>
      </c>
      <c r="I56" s="346" t="str">
        <f>IF(I$7&lt;=ActiveStage,IF(data!AA55,IF(data!K55&gt;0,INDEX(data!$E55:$H55,data!K55),""),"n/a"),"")</f>
        <v/>
      </c>
      <c r="J56" s="346" t="str">
        <f>IF(J$7&lt;=ActiveStage,IF(data!AB55,IF(data!L55&gt;0,INDEX(data!$E55:$H55,data!L55),""),"n/a"),"")</f>
        <v/>
      </c>
      <c r="K56" s="346" t="str">
        <f>IF(K$7&lt;=ActiveStage,IF(data!AC55,IF(data!M55&gt;0,INDEX(data!$E55:$H55,data!M55),""),"n/a"),"")</f>
        <v/>
      </c>
      <c r="L56" s="346" t="str">
        <f>IF(L$7&lt;=ActiveStage,IF(data!AD55,IF(data!N55&gt;0,INDEX(data!$E55:$H55,data!N55),""),"n/a"),"")</f>
        <v/>
      </c>
      <c r="M56" s="346" t="str">
        <f>IF(M$7&lt;=ActiveStage,IF(data!AE55,IF(data!O55&gt;0,INDEX(data!$E55:$H55,data!O55),""),"n/a"),"")</f>
        <v/>
      </c>
      <c r="N56" s="401" t="str">
        <f>IF(N$7&lt;=ActiveStage,IF(data!AF55,IF(data!P55&gt;0,INDEX(data!$E55:$H55,data!P55),""),"n/a"),"")</f>
        <v/>
      </c>
    </row>
    <row r="57" spans="3:14" ht="16" customHeight="1" x14ac:dyDescent="0.2">
      <c r="C57" s="539"/>
      <c r="D57" s="126" t="str">
        <f>data!C56</f>
        <v>C3</v>
      </c>
      <c r="E57" s="395" t="str">
        <f>data!D56</f>
        <v>Budget has been benchmarked against appropriate quality</v>
      </c>
      <c r="F57" s="17"/>
      <c r="G57" s="400" t="str">
        <f>IF(G$7&lt;=ActiveStage,IF(data!Y56,IF(data!I56&gt;0,INDEX(data!$E56:$H56,data!I56),""),"n/a"),"")</f>
        <v/>
      </c>
      <c r="H57" s="346" t="str">
        <f>IF(H$7&lt;=ActiveStage,IF(data!Z56,IF(data!J56&gt;0,INDEX(data!$E56:$H56,data!J56),""),"n/a"),"")</f>
        <v/>
      </c>
      <c r="I57" s="346" t="str">
        <f>IF(I$7&lt;=ActiveStage,IF(data!AA56,IF(data!K56&gt;0,INDEX(data!$E56:$H56,data!K56),""),"n/a"),"")</f>
        <v/>
      </c>
      <c r="J57" s="346" t="str">
        <f>IF(J$7&lt;=ActiveStage,IF(data!AB56,IF(data!L56&gt;0,INDEX(data!$E56:$H56,data!L56),""),"n/a"),"")</f>
        <v/>
      </c>
      <c r="K57" s="346" t="str">
        <f>IF(K$7&lt;=ActiveStage,IF(data!AC56,IF(data!M56&gt;0,INDEX(data!$E56:$H56,data!M56),""),"n/a"),"")</f>
        <v/>
      </c>
      <c r="L57" s="346" t="str">
        <f>IF(L$7&lt;=ActiveStage,IF(data!AD56,IF(data!N56&gt;0,INDEX(data!$E56:$H56,data!N56),""),"n/a"),"")</f>
        <v/>
      </c>
      <c r="M57" s="346" t="str">
        <f>IF(M$7&lt;=ActiveStage,IF(data!AE56,IF(data!O56&gt;0,INDEX(data!$E56:$H56,data!O56),""),"n/a"),"")</f>
        <v/>
      </c>
      <c r="N57" s="401" t="str">
        <f>IF(N$7&lt;=ActiveStage,IF(data!AF56,IF(data!P56&gt;0,INDEX(data!$E56:$H56,data!P56),""),"n/a"),"")</f>
        <v/>
      </c>
    </row>
    <row r="58" spans="3:14" ht="16" customHeight="1" x14ac:dyDescent="0.2">
      <c r="C58" s="538" t="str">
        <f>Stage!D58</f>
        <v>Attitude to
Cost Certainty</v>
      </c>
      <c r="D58" s="126" t="str">
        <f>data!C57</f>
        <v>C4</v>
      </c>
      <c r="E58" s="395" t="str">
        <f>data!D57</f>
        <v>Adjustable Contract Sum (no GMP or NTE clauses)</v>
      </c>
      <c r="F58" s="17"/>
      <c r="G58" s="400" t="str">
        <f>IF(G$7&lt;=ActiveStage,IF(data!Y57,IF(data!I57&gt;0,INDEX(data!$E57:$H57,data!I57),""),"n/a"),"")</f>
        <v>n/a</v>
      </c>
      <c r="H58" s="346" t="str">
        <f>IF(H$7&lt;=ActiveStage,IF(data!Z57,IF(data!J57&gt;0,INDEX(data!$E57:$H57,data!J57),""),"n/a"),"")</f>
        <v/>
      </c>
      <c r="I58" s="346" t="str">
        <f>IF(I$7&lt;=ActiveStage,IF(data!AA57,IF(data!K57&gt;0,INDEX(data!$E57:$H57,data!K57),""),"n/a"),"")</f>
        <v/>
      </c>
      <c r="J58" s="346" t="str">
        <f>IF(J$7&lt;=ActiveStage,IF(data!AB57,IF(data!L57&gt;0,INDEX(data!$E57:$H57,data!L57),""),"n/a"),"")</f>
        <v/>
      </c>
      <c r="K58" s="346" t="str">
        <f>IF(K$7&lt;=ActiveStage,IF(data!AC57,IF(data!M57&gt;0,INDEX(data!$E57:$H57,data!M57),""),"n/a"),"")</f>
        <v/>
      </c>
      <c r="L58" s="346" t="str">
        <f>IF(L$7&lt;=ActiveStage,IF(data!AD57,IF(data!N57&gt;0,INDEX(data!$E57:$H57,data!N57),""),"n/a"),"")</f>
        <v/>
      </c>
      <c r="M58" s="346" t="str">
        <f>IF(M$7&lt;=ActiveStage,IF(data!AE57,IF(data!O57&gt;0,INDEX(data!$E57:$H57,data!O57),""),"n/a"),"")</f>
        <v/>
      </c>
      <c r="N58" s="401" t="str">
        <f>IF(N$7&lt;=ActiveStage,IF(data!AF57,IF(data!P57&gt;0,INDEX(data!$E57:$H57,data!P57),""),"n/a"),"")</f>
        <v/>
      </c>
    </row>
    <row r="59" spans="3:14" ht="16" customHeight="1" x14ac:dyDescent="0.2">
      <c r="C59" s="538"/>
      <c r="D59" s="126" t="str">
        <f>data!C58</f>
        <v>C5</v>
      </c>
      <c r="E59" s="395" t="str">
        <f>data!D58</f>
        <v>ERs name products and materials in specification</v>
      </c>
      <c r="F59" s="17"/>
      <c r="G59" s="400" t="str">
        <f>IF(G$7&lt;=ActiveStage,IF(data!Y58,IF(data!I58&gt;0,INDEX(data!$E58:$H58,data!I58),""),"n/a"),"")</f>
        <v>n/a</v>
      </c>
      <c r="H59" s="346" t="str">
        <f>IF(H$7&lt;=ActiveStage,IF(data!Z58,IF(data!J58&gt;0,INDEX(data!$E58:$H58,data!J58),""),"n/a"),"")</f>
        <v/>
      </c>
      <c r="I59" s="346" t="str">
        <f>IF(I$7&lt;=ActiveStage,IF(data!AA58,IF(data!K58&gt;0,INDEX(data!$E58:$H58,data!K58),""),"n/a"),"")</f>
        <v/>
      </c>
      <c r="J59" s="346" t="str">
        <f>IF(J$7&lt;=ActiveStage,IF(data!AB58,IF(data!L58&gt;0,INDEX(data!$E58:$H58,data!L58),""),"n/a"),"")</f>
        <v/>
      </c>
      <c r="K59" s="346" t="str">
        <f>IF(K$7&lt;=ActiveStage,IF(data!AC58,IF(data!M58&gt;0,INDEX(data!$E58:$H58,data!M58),""),"n/a"),"")</f>
        <v/>
      </c>
      <c r="L59" s="346" t="str">
        <f>IF(L$7&lt;=ActiveStage,IF(data!AD58,IF(data!N58&gt;0,INDEX(data!$E58:$H58,data!N58),""),"n/a"),"")</f>
        <v/>
      </c>
      <c r="M59" s="346" t="str">
        <f>IF(M$7&lt;=ActiveStage,IF(data!AE58,IF(data!O58&gt;0,INDEX(data!$E58:$H58,data!O58),""),"n/a"),"")</f>
        <v/>
      </c>
      <c r="N59" s="401" t="str">
        <f>IF(N$7&lt;=ActiveStage,IF(data!AF58,IF(data!P58&gt;0,INDEX(data!$E58:$H58,data!P58),""),"n/a"),"")</f>
        <v/>
      </c>
    </row>
    <row r="60" spans="3:14" ht="16" customHeight="1" x14ac:dyDescent="0.2">
      <c r="C60" s="538"/>
      <c r="D60" s="126" t="str">
        <f>data!C59</f>
        <v>C6</v>
      </c>
      <c r="E60" s="395" t="str">
        <f>data!D59</f>
        <v>Provisional sums constitute insignificant proportion of total budget</v>
      </c>
      <c r="F60" s="17"/>
      <c r="G60" s="400" t="str">
        <f>IF(G$7&lt;=ActiveStage,IF(data!Y59,IF(data!I59&gt;0,INDEX(data!$E59:$H59,data!I59),""),"n/a"),"")</f>
        <v/>
      </c>
      <c r="H60" s="346" t="str">
        <f>IF(H$7&lt;=ActiveStage,IF(data!Z59,IF(data!J59&gt;0,INDEX(data!$E59:$H59,data!J59),""),"n/a"),"")</f>
        <v/>
      </c>
      <c r="I60" s="346" t="str">
        <f>IF(I$7&lt;=ActiveStage,IF(data!AA59,IF(data!K59&gt;0,INDEX(data!$E59:$H59,data!K59),""),"n/a"),"")</f>
        <v/>
      </c>
      <c r="J60" s="346" t="str">
        <f>IF(J$7&lt;=ActiveStage,IF(data!AB59,IF(data!L59&gt;0,INDEX(data!$E59:$H59,data!L59),""),"n/a"),"")</f>
        <v/>
      </c>
      <c r="K60" s="346" t="str">
        <f>IF(K$7&lt;=ActiveStage,IF(data!AC59,IF(data!M59&gt;0,INDEX(data!$E59:$H59,data!M59),""),"n/a"),"")</f>
        <v/>
      </c>
      <c r="L60" s="346" t="str">
        <f>IF(L$7&lt;=ActiveStage,IF(data!AD59,IF(data!N59&gt;0,INDEX(data!$E59:$H59,data!N59),""),"n/a"),"")</f>
        <v/>
      </c>
      <c r="M60" s="346" t="str">
        <f>IF(M$7&lt;=ActiveStage,IF(data!AE59,IF(data!O59&gt;0,INDEX(data!$E59:$H59,data!O59),""),"n/a"),"")</f>
        <v/>
      </c>
      <c r="N60" s="401" t="str">
        <f>IF(N$7&lt;=ActiveStage,IF(data!AF59,IF(data!P59&gt;0,INDEX(data!$E59:$H59,data!P59),""),"n/a"),"")</f>
        <v/>
      </c>
    </row>
    <row r="61" spans="3:14" ht="16" customHeight="1" x14ac:dyDescent="0.2">
      <c r="C61" s="538"/>
      <c r="D61" s="126" t="str">
        <f>data!C60</f>
        <v>C7</v>
      </c>
      <c r="E61" s="395" t="str">
        <f>data!D60</f>
        <v>Tenders are invited to make suitable allowance for contingencies</v>
      </c>
      <c r="F61" s="17"/>
      <c r="G61" s="400" t="str">
        <f>IF(G$7&lt;=ActiveStage,IF(data!Y60,IF(data!I60&gt;0,INDEX(data!$E60:$H60,data!I60),""),"n/a"),"")</f>
        <v>n/a</v>
      </c>
      <c r="H61" s="346" t="str">
        <f>IF(H$7&lt;=ActiveStage,IF(data!Z60,IF(data!J60&gt;0,INDEX(data!$E60:$H60,data!J60),""),"n/a"),"")</f>
        <v/>
      </c>
      <c r="I61" s="346" t="str">
        <f>IF(I$7&lt;=ActiveStage,IF(data!AA60,IF(data!K60&gt;0,INDEX(data!$E60:$H60,data!K60),""),"n/a"),"")</f>
        <v/>
      </c>
      <c r="J61" s="346" t="str">
        <f>IF(J$7&lt;=ActiveStage,IF(data!AB60,IF(data!L60&gt;0,INDEX(data!$E60:$H60,data!L60),""),"n/a"),"")</f>
        <v/>
      </c>
      <c r="K61" s="346" t="str">
        <f>IF(K$7&lt;=ActiveStage,IF(data!AC60,IF(data!M60&gt;0,INDEX(data!$E60:$H60,data!M60),""),"n/a"),"")</f>
        <v/>
      </c>
      <c r="L61" s="346" t="str">
        <f>IF(L$7&lt;=ActiveStage,IF(data!AD60,IF(data!N60&gt;0,INDEX(data!$E60:$H60,data!N60),""),"n/a"),"")</f>
        <v/>
      </c>
      <c r="M61" s="346" t="str">
        <f>IF(M$7&lt;=ActiveStage,IF(data!AE60,IF(data!O60&gt;0,INDEX(data!$E60:$H60,data!O60),""),"n/a"),"")</f>
        <v/>
      </c>
      <c r="N61" s="401" t="str">
        <f>IF(N$7&lt;=ActiveStage,IF(data!AF60,IF(data!P60&gt;0,INDEX(data!$E60:$H60,data!P60),""),"n/a"),"")</f>
        <v/>
      </c>
    </row>
    <row r="62" spans="3:14" ht="16" customHeight="1" x14ac:dyDescent="0.2">
      <c r="C62" s="538"/>
      <c r="D62" s="126" t="str">
        <f>data!C61</f>
        <v>C8</v>
      </c>
      <c r="E62" s="395" t="str">
        <f>data!D61</f>
        <v>OpEx budget allowed for initial life of building (1-3 years)</v>
      </c>
      <c r="F62" s="17"/>
      <c r="G62" s="400" t="str">
        <f>IF(G$7&lt;=ActiveStage,IF(data!Y61,IF(data!I61&gt;0,INDEX(data!$E61:$H61,data!I61),""),"n/a"),"")</f>
        <v>n/a</v>
      </c>
      <c r="H62" s="346" t="str">
        <f>IF(H$7&lt;=ActiveStage,IF(data!Z61,IF(data!J61&gt;0,INDEX(data!$E61:$H61,data!J61),""),"n/a"),"")</f>
        <v/>
      </c>
      <c r="I62" s="346" t="str">
        <f>IF(I$7&lt;=ActiveStage,IF(data!AA61,IF(data!K61&gt;0,INDEX(data!$E61:$H61,data!K61),""),"n/a"),"")</f>
        <v/>
      </c>
      <c r="J62" s="346" t="str">
        <f>IF(J$7&lt;=ActiveStage,IF(data!AB61,IF(data!L61&gt;0,INDEX(data!$E61:$H61,data!L61),""),"n/a"),"")</f>
        <v/>
      </c>
      <c r="K62" s="346" t="str">
        <f>IF(K$7&lt;=ActiveStage,IF(data!AC61,IF(data!M61&gt;0,INDEX(data!$E61:$H61,data!M61),""),"n/a"),"")</f>
        <v/>
      </c>
      <c r="L62" s="346" t="str">
        <f>IF(L$7&lt;=ActiveStage,IF(data!AD61,IF(data!N61&gt;0,INDEX(data!$E61:$H61,data!N61),""),"n/a"),"")</f>
        <v/>
      </c>
      <c r="M62" s="346" t="str">
        <f>IF(M$7&lt;=ActiveStage,IF(data!AE61,IF(data!O61&gt;0,INDEX(data!$E61:$H61,data!O61),""),"n/a"),"")</f>
        <v/>
      </c>
      <c r="N62" s="401" t="str">
        <f>IF(N$7&lt;=ActiveStage,IF(data!AF61,IF(data!P61&gt;0,INDEX(data!$E61:$H61,data!P61),""),"n/a"),"")</f>
        <v/>
      </c>
    </row>
    <row r="63" spans="3:14" ht="16" customHeight="1" x14ac:dyDescent="0.2">
      <c r="C63" s="350"/>
      <c r="D63" s="126" t="str">
        <f>data!C62</f>
        <v>C9</v>
      </c>
      <c r="E63" s="395" t="str">
        <f>data!D62</f>
        <v>OpEx for initial life of building (1-3 years) within budget</v>
      </c>
      <c r="F63" s="17"/>
      <c r="G63" s="400" t="str">
        <f>IF(G$7&lt;=ActiveStage,IF(data!Y62,IF(data!I62&gt;0,INDEX(data!$E62:$H62,data!I62),""),"n/a"),"")</f>
        <v>n/a</v>
      </c>
      <c r="H63" s="346" t="str">
        <f>IF(H$7&lt;=ActiveStage,IF(data!Z62,IF(data!J62&gt;0,INDEX(data!$E62:$H62,data!J62),""),"n/a"),"")</f>
        <v/>
      </c>
      <c r="I63" s="346" t="str">
        <f>IF(I$7&lt;=ActiveStage,IF(data!AA62,IF(data!K62&gt;0,INDEX(data!$E62:$H62,data!K62),""),"n/a"),"")</f>
        <v/>
      </c>
      <c r="J63" s="346" t="str">
        <f>IF(J$7&lt;=ActiveStage,IF(data!AB62,IF(data!L62&gt;0,INDEX(data!$E62:$H62,data!L62),""),"n/a"),"")</f>
        <v/>
      </c>
      <c r="K63" s="346" t="str">
        <f>IF(K$7&lt;=ActiveStage,IF(data!AC62,IF(data!M62&gt;0,INDEX(data!$E62:$H62,data!M62),""),"n/a"),"")</f>
        <v/>
      </c>
      <c r="L63" s="346" t="str">
        <f>IF(L$7&lt;=ActiveStage,IF(data!AD62,IF(data!N62&gt;0,INDEX(data!$E62:$H62,data!N62),""),"n/a"),"")</f>
        <v/>
      </c>
      <c r="M63" s="346" t="str">
        <f>IF(M$7&lt;=ActiveStage,IF(data!AE62,IF(data!O62&gt;0,INDEX(data!$E62:$H62,data!O62),""),"n/a"),"")</f>
        <v/>
      </c>
      <c r="N63" s="401" t="str">
        <f>IF(N$7&lt;=ActiveStage,IF(data!AF62,IF(data!P62&gt;0,INDEX(data!$E62:$H62,data!P62),""),"n/a"),"")</f>
        <v/>
      </c>
    </row>
    <row r="64" spans="3:14" ht="16" customHeight="1" x14ac:dyDescent="0.2">
      <c r="C64" s="350"/>
      <c r="D64" s="126" t="str">
        <f>data!C63</f>
        <v>C10</v>
      </c>
      <c r="E64" s="395" t="str">
        <f>data!D63</f>
        <v>Contingency budget allowed for early teething problems (1-3 years)</v>
      </c>
      <c r="F64" s="17"/>
      <c r="G64" s="400" t="str">
        <f>IF(G$7&lt;=ActiveStage,IF(data!Y63,IF(data!I63&gt;0,INDEX(data!$E63:$H63,data!I63),""),"n/a"),"")</f>
        <v>n/a</v>
      </c>
      <c r="H64" s="346" t="str">
        <f>IF(H$7&lt;=ActiveStage,IF(data!Z63,IF(data!J63&gt;0,INDEX(data!$E63:$H63,data!J63),""),"n/a"),"")</f>
        <v/>
      </c>
      <c r="I64" s="346" t="str">
        <f>IF(I$7&lt;=ActiveStage,IF(data!AA63,IF(data!K63&gt;0,INDEX(data!$E63:$H63,data!K63),""),"n/a"),"")</f>
        <v/>
      </c>
      <c r="J64" s="346" t="str">
        <f>IF(J$7&lt;=ActiveStage,IF(data!AB63,IF(data!L63&gt;0,INDEX(data!$E63:$H63,data!L63),""),"n/a"),"")</f>
        <v/>
      </c>
      <c r="K64" s="346" t="str">
        <f>IF(K$7&lt;=ActiveStage,IF(data!AC63,IF(data!M63&gt;0,INDEX(data!$E63:$H63,data!M63),""),"n/a"),"")</f>
        <v/>
      </c>
      <c r="L64" s="346" t="str">
        <f>IF(L$7&lt;=ActiveStage,IF(data!AD63,IF(data!N63&gt;0,INDEX(data!$E63:$H63,data!N63),""),"n/a"),"")</f>
        <v/>
      </c>
      <c r="M64" s="346" t="str">
        <f>IF(M$7&lt;=ActiveStage,IF(data!AE63,IF(data!O63&gt;0,INDEX(data!$E63:$H63,data!O63),""),"n/a"),"")</f>
        <v/>
      </c>
      <c r="N64" s="401" t="str">
        <f>IF(N$7&lt;=ActiveStage,IF(data!AF63,IF(data!P63&gt;0,INDEX(data!$E63:$H63,data!P63),""),"n/a"),"")</f>
        <v/>
      </c>
    </row>
    <row r="65" spans="3:14" ht="16" customHeight="1" x14ac:dyDescent="0.2">
      <c r="C65" s="350"/>
      <c r="D65" s="126" t="str">
        <f>data!C64</f>
        <v>C11</v>
      </c>
      <c r="E65" s="395" t="str">
        <f>data!D64</f>
        <v>Cost of early teething problems within budget</v>
      </c>
      <c r="F65" s="17"/>
      <c r="G65" s="400" t="str">
        <f>IF(G$7&lt;=ActiveStage,IF(data!Y64,IF(data!I64&gt;0,INDEX(data!$E64:$H64,data!I64),""),"n/a"),"")</f>
        <v>n/a</v>
      </c>
      <c r="H65" s="346" t="str">
        <f>IF(H$7&lt;=ActiveStage,IF(data!Z64,IF(data!J64&gt;0,INDEX(data!$E64:$H64,data!J64),""),"n/a"),"")</f>
        <v/>
      </c>
      <c r="I65" s="346" t="str">
        <f>IF(I$7&lt;=ActiveStage,IF(data!AA64,IF(data!K64&gt;0,INDEX(data!$E64:$H64,data!K64),""),"n/a"),"")</f>
        <v/>
      </c>
      <c r="J65" s="346" t="str">
        <f>IF(J$7&lt;=ActiveStage,IF(data!AB64,IF(data!L64&gt;0,INDEX(data!$E64:$H64,data!L64),""),"n/a"),"")</f>
        <v/>
      </c>
      <c r="K65" s="346" t="str">
        <f>IF(K$7&lt;=ActiveStage,IF(data!AC64,IF(data!M64&gt;0,INDEX(data!$E64:$H64,data!M64),""),"n/a"),"")</f>
        <v/>
      </c>
      <c r="L65" s="346" t="str">
        <f>IF(L$7&lt;=ActiveStage,IF(data!AD64,IF(data!N64&gt;0,INDEX(data!$E64:$H64,data!N64),""),"n/a"),"")</f>
        <v/>
      </c>
      <c r="M65" s="346" t="str">
        <f>IF(M$7&lt;=ActiveStage,IF(data!AE64,IF(data!O64&gt;0,INDEX(data!$E64:$H64,data!O64),""),"n/a"),"")</f>
        <v/>
      </c>
      <c r="N65" s="401" t="str">
        <f>IF(N$7&lt;=ActiveStage,IF(data!AF64,IF(data!P64&gt;0,INDEX(data!$E64:$H64,data!P64),""),"n/a"),"")</f>
        <v/>
      </c>
    </row>
    <row r="66" spans="3:14" ht="16" customHeight="1" x14ac:dyDescent="0.2">
      <c r="C66" s="350"/>
      <c r="D66" s="126" t="str">
        <f>data!C65</f>
        <v>C12</v>
      </c>
      <c r="E66" s="395" t="str">
        <f>data!D65</f>
        <v>Design gap analysis completed for this stage (refer to checklist)</v>
      </c>
      <c r="F66" s="17"/>
      <c r="G66" s="400" t="str">
        <f>IF(G$7&lt;=ActiveStage,IF(data!Y65,IF(data!I65&gt;0,INDEX(data!$E65:$H65,data!I65),""),"n/a"),"")</f>
        <v>n/a</v>
      </c>
      <c r="H66" s="346" t="str">
        <f>IF(H$7&lt;=ActiveStage,IF(data!Z65,IF(data!J65&gt;0,INDEX(data!$E65:$H65,data!J65),""),"n/a"),"")</f>
        <v/>
      </c>
      <c r="I66" s="346" t="str">
        <f>IF(I$7&lt;=ActiveStage,IF(data!AA65,IF(data!K65&gt;0,INDEX(data!$E65:$H65,data!K65),""),"n/a"),"")</f>
        <v/>
      </c>
      <c r="J66" s="346" t="str">
        <f>IF(J$7&lt;=ActiveStage,IF(data!AB65,IF(data!L65&gt;0,INDEX(data!$E65:$H65,data!L65),""),"n/a"),"")</f>
        <v/>
      </c>
      <c r="K66" s="346" t="str">
        <f>IF(K$7&lt;=ActiveStage,IF(data!AC65,IF(data!M65&gt;0,INDEX(data!$E65:$H65,data!M65),""),"n/a"),"")</f>
        <v/>
      </c>
      <c r="L66" s="346" t="str">
        <f>IF(L$7&lt;=ActiveStage,IF(data!AD65,IF(data!N65&gt;0,INDEX(data!$E65:$H65,data!N65),""),"n/a"),"")</f>
        <v/>
      </c>
      <c r="M66" s="346" t="str">
        <f>IF(M$7&lt;=ActiveStage,IF(data!AE65,IF(data!O65&gt;0,INDEX(data!$E65:$H65,data!O65),""),"n/a"),"")</f>
        <v/>
      </c>
      <c r="N66" s="401" t="str">
        <f>IF(N$7&lt;=ActiveStage,IF(data!AF65,IF(data!P65&gt;0,INDEX(data!$E65:$H65,data!P65),""),"n/a"),"")</f>
        <v/>
      </c>
    </row>
    <row r="67" spans="3:14" ht="16" hidden="1" customHeight="1" x14ac:dyDescent="0.2">
      <c r="C67" s="350"/>
      <c r="D67" s="126" t="str">
        <f>data!C66</f>
        <v>C13</v>
      </c>
      <c r="E67" s="395">
        <f>data!D66</f>
        <v>0</v>
      </c>
      <c r="F67" s="17"/>
      <c r="G67" s="400" t="str">
        <f>IF(G$7&lt;=ActiveStage,IF(data!Y66,IF(data!I66&gt;0,INDEX(data!$E66:$H66,data!I66),""),"n/a"),"")</f>
        <v/>
      </c>
      <c r="H67" s="346" t="str">
        <f>IF(H$7&lt;=ActiveStage,IF(data!Z66,IF(data!J66&gt;0,INDEX(data!$E66:$H66,data!J66),""),"n/a"),"")</f>
        <v/>
      </c>
      <c r="I67" s="346" t="str">
        <f>IF(I$7&lt;=ActiveStage,IF(data!AA66,IF(data!K66&gt;0,INDEX(data!$E66:$H66,data!K66),""),"n/a"),"")</f>
        <v/>
      </c>
      <c r="J67" s="346" t="str">
        <f>IF(J$7&lt;=ActiveStage,IF(data!AB66,IF(data!L66&gt;0,INDEX(data!$E66:$H66,data!L66),""),"n/a"),"")</f>
        <v/>
      </c>
      <c r="K67" s="346" t="str">
        <f>IF(K$7&lt;=ActiveStage,IF(data!AC66,IF(data!M66&gt;0,INDEX(data!$E66:$H66,data!M66),""),"n/a"),"")</f>
        <v/>
      </c>
      <c r="L67" s="346" t="str">
        <f>IF(L$7&lt;=ActiveStage,IF(data!AD66,IF(data!N66&gt;0,INDEX(data!$E66:$H66,data!N66),""),"n/a"),"")</f>
        <v/>
      </c>
      <c r="M67" s="346" t="str">
        <f>IF(M$7&lt;=ActiveStage,IF(data!AE66,IF(data!O66&gt;0,INDEX(data!$E66:$H66,data!O66),""),"n/a"),"")</f>
        <v/>
      </c>
      <c r="N67" s="401" t="str">
        <f>IF(N$7&lt;=ActiveStage,IF(data!AF66,IF(data!P66&gt;0,INDEX(data!$E66:$H66,data!P66),""),"n/a"),"")</f>
        <v/>
      </c>
    </row>
    <row r="68" spans="3:14" ht="16" hidden="1" customHeight="1" x14ac:dyDescent="0.2">
      <c r="C68" s="350"/>
      <c r="D68" s="126" t="str">
        <f>data!C67</f>
        <v>C14</v>
      </c>
      <c r="E68" s="395">
        <f>data!D67</f>
        <v>0</v>
      </c>
      <c r="F68" s="17"/>
      <c r="G68" s="400" t="str">
        <f>IF(G$7&lt;=ActiveStage,IF(data!Y67,IF(data!I67&gt;0,INDEX(data!$E67:$H67,data!I67),""),"n/a"),"")</f>
        <v/>
      </c>
      <c r="H68" s="346" t="str">
        <f>IF(H$7&lt;=ActiveStage,IF(data!Z67,IF(data!J67&gt;0,INDEX(data!$E67:$H67,data!J67),""),"n/a"),"")</f>
        <v/>
      </c>
      <c r="I68" s="346" t="str">
        <f>IF(I$7&lt;=ActiveStage,IF(data!AA67,IF(data!K67&gt;0,INDEX(data!$E67:$H67,data!K67),""),"n/a"),"")</f>
        <v/>
      </c>
      <c r="J68" s="346" t="str">
        <f>IF(J$7&lt;=ActiveStage,IF(data!AB67,IF(data!L67&gt;0,INDEX(data!$E67:$H67,data!L67),""),"n/a"),"")</f>
        <v/>
      </c>
      <c r="K68" s="346" t="str">
        <f>IF(K$7&lt;=ActiveStage,IF(data!AC67,IF(data!M67&gt;0,INDEX(data!$E67:$H67,data!M67),""),"n/a"),"")</f>
        <v/>
      </c>
      <c r="L68" s="346" t="str">
        <f>IF(L$7&lt;=ActiveStage,IF(data!AD67,IF(data!N67&gt;0,INDEX(data!$E67:$H67,data!N67),""),"n/a"),"")</f>
        <v/>
      </c>
      <c r="M68" s="346" t="str">
        <f>IF(M$7&lt;=ActiveStage,IF(data!AE67,IF(data!O67&gt;0,INDEX(data!$E67:$H67,data!O67),""),"n/a"),"")</f>
        <v/>
      </c>
      <c r="N68" s="401" t="str">
        <f>IF(N$7&lt;=ActiveStage,IF(data!AF67,IF(data!P67&gt;0,INDEX(data!$E67:$H67,data!P67),""),"n/a"),"")</f>
        <v/>
      </c>
    </row>
    <row r="69" spans="3:14" ht="16" hidden="1" customHeight="1" x14ac:dyDescent="0.2">
      <c r="C69" s="350"/>
      <c r="D69" s="126" t="str">
        <f>data!C68</f>
        <v>C15</v>
      </c>
      <c r="E69" s="395">
        <f>data!D68</f>
        <v>0</v>
      </c>
      <c r="F69" s="17"/>
      <c r="G69" s="400" t="str">
        <f>IF(G$7&lt;=ActiveStage,IF(data!Y68,IF(data!I68&gt;0,INDEX(data!$E68:$H68,data!I68),""),"n/a"),"")</f>
        <v/>
      </c>
      <c r="H69" s="346" t="str">
        <f>IF(H$7&lt;=ActiveStage,IF(data!Z68,IF(data!J68&gt;0,INDEX(data!$E68:$H68,data!J68),""),"n/a"),"")</f>
        <v/>
      </c>
      <c r="I69" s="346" t="str">
        <f>IF(I$7&lt;=ActiveStage,IF(data!AA68,IF(data!K68&gt;0,INDEX(data!$E68:$H68,data!K68),""),"n/a"),"")</f>
        <v/>
      </c>
      <c r="J69" s="346" t="str">
        <f>IF(J$7&lt;=ActiveStage,IF(data!AB68,IF(data!L68&gt;0,INDEX(data!$E68:$H68,data!L68),""),"n/a"),"")</f>
        <v/>
      </c>
      <c r="K69" s="346" t="str">
        <f>IF(K$7&lt;=ActiveStage,IF(data!AC68,IF(data!M68&gt;0,INDEX(data!$E68:$H68,data!M68),""),"n/a"),"")</f>
        <v/>
      </c>
      <c r="L69" s="346" t="str">
        <f>IF(L$7&lt;=ActiveStage,IF(data!AD68,IF(data!N68&gt;0,INDEX(data!$E68:$H68,data!N68),""),"n/a"),"")</f>
        <v/>
      </c>
      <c r="M69" s="346" t="str">
        <f>IF(M$7&lt;=ActiveStage,IF(data!AE68,IF(data!O68&gt;0,INDEX(data!$E68:$H68,data!O68),""),"n/a"),"")</f>
        <v/>
      </c>
      <c r="N69" s="401" t="str">
        <f>IF(N$7&lt;=ActiveStage,IF(data!AF68,IF(data!P68&gt;0,INDEX(data!$E68:$H68,data!P68),""),"n/a"),"")</f>
        <v/>
      </c>
    </row>
    <row r="70" spans="3:14" ht="16" hidden="1" customHeight="1" x14ac:dyDescent="0.2">
      <c r="C70" s="350"/>
      <c r="D70" s="126" t="str">
        <f>data!C69</f>
        <v>C16</v>
      </c>
      <c r="E70" s="395">
        <f>data!D69</f>
        <v>0</v>
      </c>
      <c r="F70" s="17"/>
      <c r="G70" s="400" t="str">
        <f>IF(G$7&lt;=ActiveStage,IF(data!Y69,IF(data!I69&gt;0,INDEX(data!$E69:$H69,data!I69),""),"n/a"),"")</f>
        <v/>
      </c>
      <c r="H70" s="346" t="str">
        <f>IF(H$7&lt;=ActiveStage,IF(data!Z69,IF(data!J69&gt;0,INDEX(data!$E69:$H69,data!J69),""),"n/a"),"")</f>
        <v/>
      </c>
      <c r="I70" s="346" t="str">
        <f>IF(I$7&lt;=ActiveStage,IF(data!AA69,IF(data!K69&gt;0,INDEX(data!$E69:$H69,data!K69),""),"n/a"),"")</f>
        <v/>
      </c>
      <c r="J70" s="346" t="str">
        <f>IF(J$7&lt;=ActiveStage,IF(data!AB69,IF(data!L69&gt;0,INDEX(data!$E69:$H69,data!L69),""),"n/a"),"")</f>
        <v/>
      </c>
      <c r="K70" s="346" t="str">
        <f>IF(K$7&lt;=ActiveStage,IF(data!AC69,IF(data!M69&gt;0,INDEX(data!$E69:$H69,data!M69),""),"n/a"),"")</f>
        <v/>
      </c>
      <c r="L70" s="346" t="str">
        <f>IF(L$7&lt;=ActiveStage,IF(data!AD69,IF(data!N69&gt;0,INDEX(data!$E69:$H69,data!N69),""),"n/a"),"")</f>
        <v/>
      </c>
      <c r="M70" s="346" t="str">
        <f>IF(M$7&lt;=ActiveStage,IF(data!AE69,IF(data!O69&gt;0,INDEX(data!$E69:$H69,data!O69),""),"n/a"),"")</f>
        <v/>
      </c>
      <c r="N70" s="401" t="str">
        <f>IF(N$7&lt;=ActiveStage,IF(data!AF69,IF(data!P69&gt;0,INDEX(data!$E69:$H69,data!P69),""),"n/a"),"")</f>
        <v/>
      </c>
    </row>
    <row r="71" spans="3:14" ht="16" hidden="1" customHeight="1" x14ac:dyDescent="0.2">
      <c r="C71" s="350"/>
      <c r="D71" s="126" t="str">
        <f>data!C70</f>
        <v>C17</v>
      </c>
      <c r="E71" s="395">
        <f>data!D70</f>
        <v>0</v>
      </c>
      <c r="F71" s="17"/>
      <c r="G71" s="400" t="str">
        <f>IF(G$7&lt;=ActiveStage,IF(data!Y70,IF(data!I70&gt;0,INDEX(data!$E70:$H70,data!I70),""),"n/a"),"")</f>
        <v/>
      </c>
      <c r="H71" s="346" t="str">
        <f>IF(H$7&lt;=ActiveStage,IF(data!Z70,IF(data!J70&gt;0,INDEX(data!$E70:$H70,data!J70),""),"n/a"),"")</f>
        <v/>
      </c>
      <c r="I71" s="346" t="str">
        <f>IF(I$7&lt;=ActiveStage,IF(data!AA70,IF(data!K70&gt;0,INDEX(data!$E70:$H70,data!K70),""),"n/a"),"")</f>
        <v/>
      </c>
      <c r="J71" s="346" t="str">
        <f>IF(J$7&lt;=ActiveStage,IF(data!AB70,IF(data!L70&gt;0,INDEX(data!$E70:$H70,data!L70),""),"n/a"),"")</f>
        <v/>
      </c>
      <c r="K71" s="346" t="str">
        <f>IF(K$7&lt;=ActiveStage,IF(data!AC70,IF(data!M70&gt;0,INDEX(data!$E70:$H70,data!M70),""),"n/a"),"")</f>
        <v/>
      </c>
      <c r="L71" s="346" t="str">
        <f>IF(L$7&lt;=ActiveStage,IF(data!AD70,IF(data!N70&gt;0,INDEX(data!$E70:$H70,data!N70),""),"n/a"),"")</f>
        <v/>
      </c>
      <c r="M71" s="346" t="str">
        <f>IF(M$7&lt;=ActiveStage,IF(data!AE70,IF(data!O70&gt;0,INDEX(data!$E70:$H70,data!O70),""),"n/a"),"")</f>
        <v/>
      </c>
      <c r="N71" s="401" t="str">
        <f>IF(N$7&lt;=ActiveStage,IF(data!AF70,IF(data!P70&gt;0,INDEX(data!$E70:$H70,data!P70),""),"n/a"),"")</f>
        <v/>
      </c>
    </row>
    <row r="72" spans="3:14" ht="16" hidden="1" customHeight="1" x14ac:dyDescent="0.2">
      <c r="C72" s="350"/>
      <c r="D72" s="126" t="str">
        <f>data!C71</f>
        <v>C18</v>
      </c>
      <c r="E72" s="395">
        <f>data!D71</f>
        <v>0</v>
      </c>
      <c r="F72" s="17"/>
      <c r="G72" s="400" t="str">
        <f>IF(G$7&lt;=ActiveStage,IF(data!Y71,IF(data!I71&gt;0,INDEX(data!$E71:$H71,data!I71),""),"n/a"),"")</f>
        <v/>
      </c>
      <c r="H72" s="346" t="str">
        <f>IF(H$7&lt;=ActiveStage,IF(data!Z71,IF(data!J71&gt;0,INDEX(data!$E71:$H71,data!J71),""),"n/a"),"")</f>
        <v/>
      </c>
      <c r="I72" s="346" t="str">
        <f>IF(I$7&lt;=ActiveStage,IF(data!AA71,IF(data!K71&gt;0,INDEX(data!$E71:$H71,data!K71),""),"n/a"),"")</f>
        <v/>
      </c>
      <c r="J72" s="346" t="str">
        <f>IF(J$7&lt;=ActiveStage,IF(data!AB71,IF(data!L71&gt;0,INDEX(data!$E71:$H71,data!L71),""),"n/a"),"")</f>
        <v/>
      </c>
      <c r="K72" s="346" t="str">
        <f>IF(K$7&lt;=ActiveStage,IF(data!AC71,IF(data!M71&gt;0,INDEX(data!$E71:$H71,data!M71),""),"n/a"),"")</f>
        <v/>
      </c>
      <c r="L72" s="346" t="str">
        <f>IF(L$7&lt;=ActiveStage,IF(data!AD71,IF(data!N71&gt;0,INDEX(data!$E71:$H71,data!N71),""),"n/a"),"")</f>
        <v/>
      </c>
      <c r="M72" s="346" t="str">
        <f>IF(M$7&lt;=ActiveStage,IF(data!AE71,IF(data!O71&gt;0,INDEX(data!$E71:$H71,data!O71),""),"n/a"),"")</f>
        <v/>
      </c>
      <c r="N72" s="401" t="str">
        <f>IF(N$7&lt;=ActiveStage,IF(data!AF71,IF(data!P71&gt;0,INDEX(data!$E71:$H71,data!P71),""),"n/a"),"")</f>
        <v/>
      </c>
    </row>
    <row r="73" spans="3:14" ht="16" hidden="1" customHeight="1" x14ac:dyDescent="0.2">
      <c r="C73" s="350"/>
      <c r="D73" s="126" t="str">
        <f>data!C72</f>
        <v>C19</v>
      </c>
      <c r="E73" s="395">
        <f>data!D72</f>
        <v>0</v>
      </c>
      <c r="F73" s="17"/>
      <c r="G73" s="400" t="str">
        <f>IF(G$7&lt;=ActiveStage,IF(data!Y72,IF(data!I72&gt;0,INDEX(data!$E72:$H72,data!I72),""),"n/a"),"")</f>
        <v/>
      </c>
      <c r="H73" s="346" t="str">
        <f>IF(H$7&lt;=ActiveStage,IF(data!Z72,IF(data!J72&gt;0,INDEX(data!$E72:$H72,data!J72),""),"n/a"),"")</f>
        <v/>
      </c>
      <c r="I73" s="346" t="str">
        <f>IF(I$7&lt;=ActiveStage,IF(data!AA72,IF(data!K72&gt;0,INDEX(data!$E72:$H72,data!K72),""),"n/a"),"")</f>
        <v/>
      </c>
      <c r="J73" s="346" t="str">
        <f>IF(J$7&lt;=ActiveStage,IF(data!AB72,IF(data!L72&gt;0,INDEX(data!$E72:$H72,data!L72),""),"n/a"),"")</f>
        <v/>
      </c>
      <c r="K73" s="346" t="str">
        <f>IF(K$7&lt;=ActiveStage,IF(data!AC72,IF(data!M72&gt;0,INDEX(data!$E72:$H72,data!M72),""),"n/a"),"")</f>
        <v/>
      </c>
      <c r="L73" s="346" t="str">
        <f>IF(L$7&lt;=ActiveStage,IF(data!AD72,IF(data!N72&gt;0,INDEX(data!$E72:$H72,data!N72),""),"n/a"),"")</f>
        <v/>
      </c>
      <c r="M73" s="346" t="str">
        <f>IF(M$7&lt;=ActiveStage,IF(data!AE72,IF(data!O72&gt;0,INDEX(data!$E72:$H72,data!O72),""),"n/a"),"")</f>
        <v/>
      </c>
      <c r="N73" s="401" t="str">
        <f>IF(N$7&lt;=ActiveStage,IF(data!AF72,IF(data!P72&gt;0,INDEX(data!$E72:$H72,data!P72),""),"n/a"),"")</f>
        <v/>
      </c>
    </row>
    <row r="74" spans="3:14" ht="16" hidden="1" customHeight="1" x14ac:dyDescent="0.2">
      <c r="C74" s="350"/>
      <c r="D74" s="129" t="str">
        <f>data!C73</f>
        <v>C20</v>
      </c>
      <c r="E74" s="396">
        <f>data!D73</f>
        <v>0</v>
      </c>
      <c r="F74" s="17"/>
      <c r="G74" s="402" t="str">
        <f>IF(G$7&lt;=ActiveStage,IF(data!Y73,IF(data!I73&gt;0,INDEX(data!$E73:$H73,data!I73),""),"n/a"),"")</f>
        <v/>
      </c>
      <c r="H74" s="403" t="str">
        <f>IF(H$7&lt;=ActiveStage,IF(data!Z73,IF(data!J73&gt;0,INDEX(data!$E73:$H73,data!J73),""),"n/a"),"")</f>
        <v/>
      </c>
      <c r="I74" s="403" t="str">
        <f>IF(I$7&lt;=ActiveStage,IF(data!AA73,IF(data!K73&gt;0,INDEX(data!$E73:$H73,data!K73),""),"n/a"),"")</f>
        <v/>
      </c>
      <c r="J74" s="403" t="str">
        <f>IF(J$7&lt;=ActiveStage,IF(data!AB73,IF(data!L73&gt;0,INDEX(data!$E73:$H73,data!L73),""),"n/a"),"")</f>
        <v/>
      </c>
      <c r="K74" s="403" t="str">
        <f>IF(K$7&lt;=ActiveStage,IF(data!AC73,IF(data!M73&gt;0,INDEX(data!$E73:$H73,data!M73),""),"n/a"),"")</f>
        <v/>
      </c>
      <c r="L74" s="403" t="str">
        <f>IF(L$7&lt;=ActiveStage,IF(data!AD73,IF(data!N73&gt;0,INDEX(data!$E73:$H73,data!N73),""),"n/a"),"")</f>
        <v/>
      </c>
      <c r="M74" s="403" t="str">
        <f>IF(M$7&lt;=ActiveStage,IF(data!AE73,IF(data!O73&gt;0,INDEX(data!$E73:$H73,data!O73),""),"n/a"),"")</f>
        <v/>
      </c>
      <c r="N74" s="404" t="str">
        <f>IF(N$7&lt;=ActiveStage,IF(data!AF73,IF(data!P73&gt;0,INDEX(data!$E73:$H73,data!P73),""),"n/a"),"")</f>
        <v/>
      </c>
    </row>
    <row r="75" spans="3:14" ht="16" customHeight="1" x14ac:dyDescent="0.2">
      <c r="C75" s="17"/>
      <c r="D75" s="441"/>
      <c r="E75" s="442"/>
      <c r="F75" s="17"/>
      <c r="G75" s="364" t="str">
        <f>IF(G$7&lt;=ActiveStage,IF(data!Y74,IF(data!I74&gt;0,INDEX(data!$E74:$H74,data!I74),""),"n/a"),"")</f>
        <v/>
      </c>
      <c r="H75" s="364" t="str">
        <f>IF(H$7&lt;=ActiveStage,IF(data!Z74,IF(data!J74&gt;0,INDEX(data!$E74:$H74,data!J74),""),"n/a"),"")</f>
        <v/>
      </c>
      <c r="I75" s="364" t="str">
        <f>IF(I$7&lt;=ActiveStage,IF(data!AA74,IF(data!K74&gt;0,INDEX(data!$E74:$H74,data!K74),""),"n/a"),"")</f>
        <v/>
      </c>
      <c r="J75" s="364" t="str">
        <f>IF(J$7&lt;=ActiveStage,IF(data!AB74,IF(data!L74&gt;0,INDEX(data!$E74:$H74,data!L74),""),"n/a"),"")</f>
        <v/>
      </c>
      <c r="K75" s="364" t="str">
        <f>IF(K$7&lt;=ActiveStage,IF(data!AC74,IF(data!M74&gt;0,INDEX(data!$E74:$H74,data!M74),""),"n/a"),"")</f>
        <v/>
      </c>
      <c r="L75" s="364" t="str">
        <f>IF(L$7&lt;=ActiveStage,IF(data!AD74,IF(data!N74&gt;0,INDEX(data!$E74:$H74,data!N74),""),"n/a"),"")</f>
        <v/>
      </c>
      <c r="M75" s="364" t="str">
        <f>IF(M$7&lt;=ActiveStage,IF(data!AE74,IF(data!O74&gt;0,INDEX(data!$E74:$H74,data!O74),""),"n/a"),"")</f>
        <v/>
      </c>
      <c r="N75" s="364" t="str">
        <f>IF(N$7&lt;=ActiveStage,IF(data!AF74,IF(data!P74&gt;0,INDEX(data!$E74:$H74,data!P74),""),"n/a"),"")</f>
        <v/>
      </c>
    </row>
    <row r="76" spans="3:14" ht="16" hidden="1" customHeight="1" x14ac:dyDescent="0.2">
      <c r="C76" s="17"/>
      <c r="D76" s="97"/>
      <c r="E76" s="354"/>
      <c r="F76" s="17"/>
      <c r="G76" s="347" t="str">
        <f>IF(G$7&lt;=ActiveStage,IF(data!Y75,IF(data!I75&gt;0,INDEX(data!$E75:$H75,data!I75),""),"n/a"),"")</f>
        <v/>
      </c>
      <c r="H76" s="347" t="str">
        <f>IF(H$7&lt;=ActiveStage,IF(data!Z75,IF(data!J75&gt;0,INDEX(data!$E75:$H75,data!J75),""),"n/a"),"")</f>
        <v/>
      </c>
      <c r="I76" s="347" t="str">
        <f>IF(I$7&lt;=ActiveStage,IF(data!AA75,IF(data!K75&gt;0,INDEX(data!$E75:$H75,data!K75),""),"n/a"),"")</f>
        <v/>
      </c>
      <c r="J76" s="347" t="str">
        <f>IF(J$7&lt;=ActiveStage,IF(data!AB75,IF(data!L75&gt;0,INDEX(data!$E75:$H75,data!L75),""),"n/a"),"")</f>
        <v/>
      </c>
      <c r="K76" s="347" t="str">
        <f>IF(K$7&lt;=ActiveStage,IF(data!AC75,IF(data!M75&gt;0,INDEX(data!$E75:$H75,data!M75),""),"n/a"),"")</f>
        <v/>
      </c>
      <c r="L76" s="347" t="str">
        <f>IF(L$7&lt;=ActiveStage,IF(data!AD75,IF(data!N75&gt;0,INDEX(data!$E75:$H75,data!N75),""),"n/a"),"")</f>
        <v/>
      </c>
      <c r="M76" s="347" t="str">
        <f>IF(M$7&lt;=ActiveStage,IF(data!AE75,IF(data!O75&gt;0,INDEX(data!$E75:$H75,data!O75),""),"n/a"),"")</f>
        <v/>
      </c>
      <c r="N76" s="347" t="str">
        <f>IF(N$7&lt;=ActiveStage,IF(data!AF75,IF(data!P75&gt;0,INDEX(data!$E75:$H75,data!P75),""),"n/a"),"")</f>
        <v/>
      </c>
    </row>
    <row r="77" spans="3:14" ht="16" customHeight="1" x14ac:dyDescent="0.2">
      <c r="C77" s="541" t="str">
        <f>Stage!C80</f>
        <v>D</v>
      </c>
      <c r="D77" s="136" t="str">
        <f>data!C76</f>
        <v>D1</v>
      </c>
      <c r="E77" s="405" t="str">
        <f>data!D76</f>
        <v>Time to handover is not the most important factor</v>
      </c>
      <c r="F77" s="17"/>
      <c r="G77" s="408" t="str">
        <f>IF(G$7&lt;=ActiveStage,IF(data!Y76,IF(data!I76&gt;0,INDEX(data!$E76:$H76,data!I76),""),"n/a"),"")</f>
        <v/>
      </c>
      <c r="H77" s="409" t="str">
        <f>IF(H$7&lt;=ActiveStage,IF(data!Z76,IF(data!J76&gt;0,INDEX(data!$E76:$H76,data!J76),""),"n/a"),"")</f>
        <v/>
      </c>
      <c r="I77" s="409" t="str">
        <f>IF(I$7&lt;=ActiveStage,IF(data!AA76,IF(data!K76&gt;0,INDEX(data!$E76:$H76,data!K76),""),"n/a"),"")</f>
        <v/>
      </c>
      <c r="J77" s="409" t="str">
        <f>IF(J$7&lt;=ActiveStage,IF(data!AB76,IF(data!L76&gt;0,INDEX(data!$E76:$H76,data!L76),""),"n/a"),"")</f>
        <v/>
      </c>
      <c r="K77" s="409" t="str">
        <f>IF(K$7&lt;=ActiveStage,IF(data!AC76,IF(data!M76&gt;0,INDEX(data!$E76:$H76,data!M76),""),"n/a"),"")</f>
        <v/>
      </c>
      <c r="L77" s="409" t="str">
        <f>IF(L$7&lt;=ActiveStage,IF(data!AD76,IF(data!N76&gt;0,INDEX(data!$E76:$H76,data!N76),""),"n/a"),"")</f>
        <v/>
      </c>
      <c r="M77" s="409" t="str">
        <f>IF(M$7&lt;=ActiveStage,IF(data!AE76,IF(data!O76&gt;0,INDEX(data!$E76:$H76,data!O76),""),"n/a"),"")</f>
        <v/>
      </c>
      <c r="N77" s="410" t="str">
        <f>IF(N$7&lt;=ActiveStage,IF(data!AF76,IF(data!P76&gt;0,INDEX(data!$E76:$H76,data!P76),""),"n/a"),"")</f>
        <v/>
      </c>
    </row>
    <row r="78" spans="3:14" ht="16" customHeight="1" x14ac:dyDescent="0.2">
      <c r="C78" s="541"/>
      <c r="D78" s="143" t="str">
        <f>data!C77</f>
        <v>D2</v>
      </c>
      <c r="E78" s="406" t="str">
        <f>data!D77</f>
        <v>Design programme allows for a comprehensive, iterative process</v>
      </c>
      <c r="F78" s="17"/>
      <c r="G78" s="411" t="str">
        <f>IF(G$7&lt;=ActiveStage,IF(data!Y77,IF(data!I77&gt;0,INDEX(data!$E77:$H77,data!I77),""),"n/a"),"")</f>
        <v/>
      </c>
      <c r="H78" s="346" t="str">
        <f>IF(H$7&lt;=ActiveStage,IF(data!Z77,IF(data!J77&gt;0,INDEX(data!$E77:$H77,data!J77),""),"n/a"),"")</f>
        <v/>
      </c>
      <c r="I78" s="346" t="str">
        <f>IF(I$7&lt;=ActiveStage,IF(data!AA77,IF(data!K77&gt;0,INDEX(data!$E77:$H77,data!K77),""),"n/a"),"")</f>
        <v/>
      </c>
      <c r="J78" s="346" t="str">
        <f>IF(J$7&lt;=ActiveStage,IF(data!AB77,IF(data!L77&gt;0,INDEX(data!$E77:$H77,data!L77),""),"n/a"),"")</f>
        <v/>
      </c>
      <c r="K78" s="346" t="str">
        <f>IF(K$7&lt;=ActiveStage,IF(data!AC77,IF(data!M77&gt;0,INDEX(data!$E77:$H77,data!M77),""),"n/a"),"")</f>
        <v/>
      </c>
      <c r="L78" s="346" t="str">
        <f>IF(L$7&lt;=ActiveStage,IF(data!AD77,IF(data!N77&gt;0,INDEX(data!$E77:$H77,data!N77),""),"n/a"),"")</f>
        <v/>
      </c>
      <c r="M78" s="346" t="str">
        <f>IF(M$7&lt;=ActiveStage,IF(data!AE77,IF(data!O77&gt;0,INDEX(data!$E77:$H77,data!O77),""),"n/a"),"")</f>
        <v/>
      </c>
      <c r="N78" s="412" t="str">
        <f>IF(N$7&lt;=ActiveStage,IF(data!AF77,IF(data!P77&gt;0,INDEX(data!$E77:$H77,data!P77),""),"n/a"),"")</f>
        <v/>
      </c>
    </row>
    <row r="79" spans="3:14" ht="16" customHeight="1" x14ac:dyDescent="0.2">
      <c r="C79" s="541"/>
      <c r="D79" s="143" t="str">
        <f>data!C78</f>
        <v>D3</v>
      </c>
      <c r="E79" s="406" t="str">
        <f>data!D78</f>
        <v>Estimated construction programme considered comfortable</v>
      </c>
      <c r="F79" s="17"/>
      <c r="G79" s="411" t="str">
        <f>IF(G$7&lt;=ActiveStage,IF(data!Y78,IF(data!I78&gt;0,INDEX(data!$E78:$H78,data!I78),""),"n/a"),"")</f>
        <v/>
      </c>
      <c r="H79" s="346" t="str">
        <f>IF(H$7&lt;=ActiveStage,IF(data!Z78,IF(data!J78&gt;0,INDEX(data!$E78:$H78,data!J78),""),"n/a"),"")</f>
        <v/>
      </c>
      <c r="I79" s="346" t="str">
        <f>IF(I$7&lt;=ActiveStage,IF(data!AA78,IF(data!K78&gt;0,INDEX(data!$E78:$H78,data!K78),""),"n/a"),"")</f>
        <v/>
      </c>
      <c r="J79" s="346" t="str">
        <f>IF(J$7&lt;=ActiveStage,IF(data!AB78,IF(data!L78&gt;0,INDEX(data!$E78:$H78,data!L78),""),"n/a"),"")</f>
        <v/>
      </c>
      <c r="K79" s="346" t="str">
        <f>IF(K$7&lt;=ActiveStage,IF(data!AC78,IF(data!M78&gt;0,INDEX(data!$E78:$H78,data!M78),""),"n/a"),"")</f>
        <v/>
      </c>
      <c r="L79" s="346" t="str">
        <f>IF(L$7&lt;=ActiveStage,IF(data!AD78,IF(data!N78&gt;0,INDEX(data!$E78:$H78,data!N78),""),"n/a"),"")</f>
        <v/>
      </c>
      <c r="M79" s="346" t="str">
        <f>IF(M$7&lt;=ActiveStage,IF(data!AE78,IF(data!O78&gt;0,INDEX(data!$E78:$H78,data!O78),""),"n/a"),"")</f>
        <v/>
      </c>
      <c r="N79" s="412" t="str">
        <f>IF(N$7&lt;=ActiveStage,IF(data!AF78,IF(data!P78&gt;0,INDEX(data!$E78:$H78,data!P78),""),"n/a"),"")</f>
        <v/>
      </c>
    </row>
    <row r="80" spans="3:14" ht="16" customHeight="1" x14ac:dyDescent="0.2">
      <c r="C80" s="540" t="str">
        <f>Stage!D80</f>
        <v>Attitude to
Programme Certainty</v>
      </c>
      <c r="D80" s="143" t="str">
        <f>data!C79</f>
        <v>D4</v>
      </c>
      <c r="E80" s="406" t="str">
        <f>data!D79</f>
        <v>Client shares risk for delays beyond the contractor's control</v>
      </c>
      <c r="F80" s="17"/>
      <c r="G80" s="411" t="str">
        <f>IF(G$7&lt;=ActiveStage,IF(data!Y79,IF(data!I79&gt;0,INDEX(data!$E79:$H79,data!I79),""),"n/a"),"")</f>
        <v>n/a</v>
      </c>
      <c r="H80" s="346" t="str">
        <f>IF(H$7&lt;=ActiveStage,IF(data!Z79,IF(data!J79&gt;0,INDEX(data!$E79:$H79,data!J79),""),"n/a"),"")</f>
        <v/>
      </c>
      <c r="I80" s="346" t="str">
        <f>IF(I$7&lt;=ActiveStage,IF(data!AA79,IF(data!K79&gt;0,INDEX(data!$E79:$H79,data!K79),""),"n/a"),"")</f>
        <v/>
      </c>
      <c r="J80" s="346" t="str">
        <f>IF(J$7&lt;=ActiveStage,IF(data!AB79,IF(data!L79&gt;0,INDEX(data!$E79:$H79,data!L79),""),"n/a"),"")</f>
        <v/>
      </c>
      <c r="K80" s="346" t="str">
        <f>IF(K$7&lt;=ActiveStage,IF(data!AC79,IF(data!M79&gt;0,INDEX(data!$E79:$H79,data!M79),""),"n/a"),"")</f>
        <v/>
      </c>
      <c r="L80" s="346" t="str">
        <f>IF(L$7&lt;=ActiveStage,IF(data!AD79,IF(data!N79&gt;0,INDEX(data!$E79:$H79,data!N79),""),"n/a"),"")</f>
        <v/>
      </c>
      <c r="M80" s="346" t="str">
        <f>IF(M$7&lt;=ActiveStage,IF(data!AE79,IF(data!O79&gt;0,INDEX(data!$E79:$H79,data!O79),""),"n/a"),"")</f>
        <v/>
      </c>
      <c r="N80" s="412" t="str">
        <f>IF(N$7&lt;=ActiveStage,IF(data!AF79,IF(data!P79&gt;0,INDEX(data!$E79:$H79,data!P79),""),"n/a"),"")</f>
        <v/>
      </c>
    </row>
    <row r="81" spans="3:14" ht="16" customHeight="1" x14ac:dyDescent="0.2">
      <c r="C81" s="540"/>
      <c r="D81" s="143" t="str">
        <f>data!C80</f>
        <v>D5</v>
      </c>
      <c r="E81" s="406" t="str">
        <f>data!D80</f>
        <v>Key milestones relative to project start are not absolute</v>
      </c>
      <c r="F81" s="17"/>
      <c r="G81" s="411" t="str">
        <f>IF(G$7&lt;=ActiveStage,IF(data!Y80,IF(data!I80&gt;0,INDEX(data!$E80:$H80,data!I80),""),"n/a"),"")</f>
        <v/>
      </c>
      <c r="H81" s="346" t="str">
        <f>IF(H$7&lt;=ActiveStage,IF(data!Z80,IF(data!J80&gt;0,INDEX(data!$E80:$H80,data!J80),""),"n/a"),"")</f>
        <v/>
      </c>
      <c r="I81" s="346" t="str">
        <f>IF(I$7&lt;=ActiveStage,IF(data!AA80,IF(data!K80&gt;0,INDEX(data!$E80:$H80,data!K80),""),"n/a"),"")</f>
        <v/>
      </c>
      <c r="J81" s="346" t="str">
        <f>IF(J$7&lt;=ActiveStage,IF(data!AB80,IF(data!L80&gt;0,INDEX(data!$E80:$H80,data!L80),""),"n/a"),"")</f>
        <v/>
      </c>
      <c r="K81" s="346" t="str">
        <f>IF(K$7&lt;=ActiveStage,IF(data!AC80,IF(data!M80&gt;0,INDEX(data!$E80:$H80,data!M80),""),"n/a"),"")</f>
        <v/>
      </c>
      <c r="L81" s="346" t="str">
        <f>IF(L$7&lt;=ActiveStage,IF(data!AD80,IF(data!N80&gt;0,INDEX(data!$E80:$H80,data!N80),""),"n/a"),"")</f>
        <v/>
      </c>
      <c r="M81" s="346" t="str">
        <f>IF(M$7&lt;=ActiveStage,IF(data!AE80,IF(data!O80&gt;0,INDEX(data!$E80:$H80,data!O80),""),"n/a"),"")</f>
        <v/>
      </c>
      <c r="N81" s="412" t="str">
        <f>IF(N$7&lt;=ActiveStage,IF(data!AF80,IF(data!P80&gt;0,INDEX(data!$E80:$H80,data!P80),""),"n/a"),"")</f>
        <v/>
      </c>
    </row>
    <row r="82" spans="3:14" ht="16" customHeight="1" x14ac:dyDescent="0.2">
      <c r="C82" s="540"/>
      <c r="D82" s="143" t="str">
        <f>data!C81</f>
        <v>D6</v>
      </c>
      <c r="E82" s="406" t="str">
        <f>data!D81</f>
        <v>Key programme issues are within control of client and project team</v>
      </c>
      <c r="F82" s="17"/>
      <c r="G82" s="411" t="str">
        <f>IF(G$7&lt;=ActiveStage,IF(data!Y81,IF(data!I81&gt;0,INDEX(data!$E81:$H81,data!I81),""),"n/a"),"")</f>
        <v/>
      </c>
      <c r="H82" s="346" t="str">
        <f>IF(H$7&lt;=ActiveStage,IF(data!Z81,IF(data!J81&gt;0,INDEX(data!$E81:$H81,data!J81),""),"n/a"),"")</f>
        <v/>
      </c>
      <c r="I82" s="346" t="str">
        <f>IF(I$7&lt;=ActiveStage,IF(data!AA81,IF(data!K81&gt;0,INDEX(data!$E81:$H81,data!K81),""),"n/a"),"")</f>
        <v/>
      </c>
      <c r="J82" s="346" t="str">
        <f>IF(J$7&lt;=ActiveStage,IF(data!AB81,IF(data!L81&gt;0,INDEX(data!$E81:$H81,data!L81),""),"n/a"),"")</f>
        <v/>
      </c>
      <c r="K82" s="346" t="str">
        <f>IF(K$7&lt;=ActiveStage,IF(data!AC81,IF(data!M81&gt;0,INDEX(data!$E81:$H81,data!M81),""),"n/a"),"")</f>
        <v/>
      </c>
      <c r="L82" s="346" t="str">
        <f>IF(L$7&lt;=ActiveStage,IF(data!AD81,IF(data!N81&gt;0,INDEX(data!$E81:$H81,data!N81),""),"n/a"),"")</f>
        <v/>
      </c>
      <c r="M82" s="346" t="str">
        <f>IF(M$7&lt;=ActiveStage,IF(data!AE81,IF(data!O81&gt;0,INDEX(data!$E81:$H81,data!O81),""),"n/a"),"")</f>
        <v/>
      </c>
      <c r="N82" s="412" t="str">
        <f>IF(N$7&lt;=ActiveStage,IF(data!AF81,IF(data!P81&gt;0,INDEX(data!$E81:$H81,data!P81),""),"n/a"),"")</f>
        <v/>
      </c>
    </row>
    <row r="83" spans="3:14" ht="16" customHeight="1" x14ac:dyDescent="0.2">
      <c r="C83" s="540"/>
      <c r="D83" s="143" t="str">
        <f>data!C82</f>
        <v>D7</v>
      </c>
      <c r="E83" s="406" t="str">
        <f>data!D82</f>
        <v>Project plan consistent with planning and statutory constraints</v>
      </c>
      <c r="F83" s="17"/>
      <c r="G83" s="411" t="str">
        <f>IF(G$7&lt;=ActiveStage,IF(data!Y82,IF(data!I82&gt;0,INDEX(data!$E82:$H82,data!I82),""),"n/a"),"")</f>
        <v/>
      </c>
      <c r="H83" s="346" t="str">
        <f>IF(H$7&lt;=ActiveStage,IF(data!Z82,IF(data!J82&gt;0,INDEX(data!$E82:$H82,data!J82),""),"n/a"),"")</f>
        <v/>
      </c>
      <c r="I83" s="346" t="str">
        <f>IF(I$7&lt;=ActiveStage,IF(data!AA82,IF(data!K82&gt;0,INDEX(data!$E82:$H82,data!K82),""),"n/a"),"")</f>
        <v/>
      </c>
      <c r="J83" s="346" t="str">
        <f>IF(J$7&lt;=ActiveStage,IF(data!AB82,IF(data!L82&gt;0,INDEX(data!$E82:$H82,data!L82),""),"n/a"),"")</f>
        <v/>
      </c>
      <c r="K83" s="346" t="str">
        <f>IF(K$7&lt;=ActiveStage,IF(data!AC82,IF(data!M82&gt;0,INDEX(data!$E82:$H82,data!M82),""),"n/a"),"")</f>
        <v/>
      </c>
      <c r="L83" s="346" t="str">
        <f>IF(L$7&lt;=ActiveStage,IF(data!AD82,IF(data!N82&gt;0,INDEX(data!$E82:$H82,data!N82),""),"n/a"),"")</f>
        <v/>
      </c>
      <c r="M83" s="346" t="str">
        <f>IF(M$7&lt;=ActiveStage,IF(data!AE82,IF(data!O82&gt;0,INDEX(data!$E82:$H82,data!O82),""),"n/a"),"")</f>
        <v/>
      </c>
      <c r="N83" s="412" t="str">
        <f>IF(N$7&lt;=ActiveStage,IF(data!AF82,IF(data!P82&gt;0,INDEX(data!$E82:$H82,data!P82),""),"n/a"),"")</f>
        <v/>
      </c>
    </row>
    <row r="84" spans="3:14" ht="16" customHeight="1" x14ac:dyDescent="0.2">
      <c r="C84" s="540"/>
      <c r="D84" s="143" t="str">
        <f>data!C83</f>
        <v>D8</v>
      </c>
      <c r="E84" s="406" t="str">
        <f>data!D83</f>
        <v>Project has financing support</v>
      </c>
      <c r="F84" s="17"/>
      <c r="G84" s="411" t="str">
        <f>IF(G$7&lt;=ActiveStage,IF(data!Y83,IF(data!I83&gt;0,INDEX(data!$E83:$H83,data!I83),""),"n/a"),"")</f>
        <v/>
      </c>
      <c r="H84" s="346" t="str">
        <f>IF(H$7&lt;=ActiveStage,IF(data!Z83,IF(data!J83&gt;0,INDEX(data!$E83:$H83,data!J83),""),"n/a"),"")</f>
        <v/>
      </c>
      <c r="I84" s="346" t="str">
        <f>IF(I$7&lt;=ActiveStage,IF(data!AA83,IF(data!K83&gt;0,INDEX(data!$E83:$H83,data!K83),""),"n/a"),"")</f>
        <v/>
      </c>
      <c r="J84" s="346" t="str">
        <f>IF(J$7&lt;=ActiveStage,IF(data!AB83,IF(data!L83&gt;0,INDEX(data!$E83:$H83,data!L83),""),"n/a"),"")</f>
        <v/>
      </c>
      <c r="K84" s="346" t="str">
        <f>IF(K$7&lt;=ActiveStage,IF(data!AC83,IF(data!M83&gt;0,INDEX(data!$E83:$H83,data!M83),""),"n/a"),"")</f>
        <v/>
      </c>
      <c r="L84" s="346" t="str">
        <f>IF(L$7&lt;=ActiveStage,IF(data!AD83,IF(data!N83&gt;0,INDEX(data!$E83:$H83,data!N83),""),"n/a"),"")</f>
        <v/>
      </c>
      <c r="M84" s="346" t="str">
        <f>IF(M$7&lt;=ActiveStage,IF(data!AE83,IF(data!O83&gt;0,INDEX(data!$E83:$H83,data!O83),""),"n/a"),"")</f>
        <v/>
      </c>
      <c r="N84" s="412" t="str">
        <f>IF(N$7&lt;=ActiveStage,IF(data!AF83,IF(data!P83&gt;0,INDEX(data!$E83:$H83,data!P83),""),"n/a"),"")</f>
        <v/>
      </c>
    </row>
    <row r="85" spans="3:14" ht="16" customHeight="1" x14ac:dyDescent="0.2">
      <c r="C85" s="351"/>
      <c r="D85" s="143" t="str">
        <f>data!C84</f>
        <v>D9</v>
      </c>
      <c r="E85" s="406" t="str">
        <f>data!D84</f>
        <v>Project has end user and investor support</v>
      </c>
      <c r="F85" s="17"/>
      <c r="G85" s="411" t="str">
        <f>IF(G$7&lt;=ActiveStage,IF(data!Y84,IF(data!I84&gt;0,INDEX(data!$E84:$H84,data!I84),""),"n/a"),"")</f>
        <v/>
      </c>
      <c r="H85" s="346" t="str">
        <f>IF(H$7&lt;=ActiveStage,IF(data!Z84,IF(data!J84&gt;0,INDEX(data!$E84:$H84,data!J84),""),"n/a"),"")</f>
        <v/>
      </c>
      <c r="I85" s="346" t="str">
        <f>IF(I$7&lt;=ActiveStage,IF(data!AA84,IF(data!K84&gt;0,INDEX(data!$E84:$H84,data!K84),""),"n/a"),"")</f>
        <v/>
      </c>
      <c r="J85" s="346" t="str">
        <f>IF(J$7&lt;=ActiveStage,IF(data!AB84,IF(data!L84&gt;0,INDEX(data!$E84:$H84,data!L84),""),"n/a"),"")</f>
        <v/>
      </c>
      <c r="K85" s="346" t="str">
        <f>IF(K$7&lt;=ActiveStage,IF(data!AC84,IF(data!M84&gt;0,INDEX(data!$E84:$H84,data!M84),""),"n/a"),"")</f>
        <v/>
      </c>
      <c r="L85" s="346" t="str">
        <f>IF(L$7&lt;=ActiveStage,IF(data!AD84,IF(data!N84&gt;0,INDEX(data!$E84:$H84,data!N84),""),"n/a"),"")</f>
        <v/>
      </c>
      <c r="M85" s="346" t="str">
        <f>IF(M$7&lt;=ActiveStage,IF(data!AE84,IF(data!O84&gt;0,INDEX(data!$E84:$H84,data!O84),""),"n/a"),"")</f>
        <v/>
      </c>
      <c r="N85" s="412" t="str">
        <f>IF(N$7&lt;=ActiveStage,IF(data!AF84,IF(data!P84&gt;0,INDEX(data!$E84:$H84,data!P84),""),"n/a"),"")</f>
        <v/>
      </c>
    </row>
    <row r="86" spans="3:14" ht="16" hidden="1" customHeight="1" x14ac:dyDescent="0.2">
      <c r="C86" s="351"/>
      <c r="D86" s="143" t="str">
        <f>data!C85</f>
        <v>D10</v>
      </c>
      <c r="E86" s="406">
        <f>data!D85</f>
        <v>0</v>
      </c>
      <c r="F86" s="17"/>
      <c r="G86" s="411" t="str">
        <f>IF(G$7&lt;=ActiveStage,IF(data!Y85,IF(data!I85&gt;0,INDEX(data!$E85:$H85,data!I85),""),"n/a"),"")</f>
        <v/>
      </c>
      <c r="H86" s="346" t="str">
        <f>IF(H$7&lt;=ActiveStage,IF(data!Z85,IF(data!J85&gt;0,INDEX(data!$E85:$H85,data!J85),""),"n/a"),"")</f>
        <v/>
      </c>
      <c r="I86" s="346" t="str">
        <f>IF(I$7&lt;=ActiveStage,IF(data!AA85,IF(data!K85&gt;0,INDEX(data!$E85:$H85,data!K85),""),"n/a"),"")</f>
        <v/>
      </c>
      <c r="J86" s="346" t="str">
        <f>IF(J$7&lt;=ActiveStage,IF(data!AB85,IF(data!L85&gt;0,INDEX(data!$E85:$H85,data!L85),""),"n/a"),"")</f>
        <v/>
      </c>
      <c r="K86" s="346" t="str">
        <f>IF(K$7&lt;=ActiveStage,IF(data!AC85,IF(data!M85&gt;0,INDEX(data!$E85:$H85,data!M85),""),"n/a"),"")</f>
        <v/>
      </c>
      <c r="L86" s="346" t="str">
        <f>IF(L$7&lt;=ActiveStage,IF(data!AD85,IF(data!N85&gt;0,INDEX(data!$E85:$H85,data!N85),""),"n/a"),"")</f>
        <v/>
      </c>
      <c r="M86" s="346" t="str">
        <f>IF(M$7&lt;=ActiveStage,IF(data!AE85,IF(data!O85&gt;0,INDEX(data!$E85:$H85,data!O85),""),"n/a"),"")</f>
        <v/>
      </c>
      <c r="N86" s="412" t="str">
        <f>IF(N$7&lt;=ActiveStage,IF(data!AF85,IF(data!P85&gt;0,INDEX(data!$E85:$H85,data!P85),""),"n/a"),"")</f>
        <v/>
      </c>
    </row>
    <row r="87" spans="3:14" ht="16" hidden="1" customHeight="1" x14ac:dyDescent="0.2">
      <c r="C87" s="351"/>
      <c r="D87" s="143" t="str">
        <f>data!C86</f>
        <v>D11</v>
      </c>
      <c r="E87" s="406">
        <f>data!D86</f>
        <v>0</v>
      </c>
      <c r="F87" s="17"/>
      <c r="G87" s="411" t="str">
        <f>IF(G$7&lt;=ActiveStage,IF(data!Y86,IF(data!I86&gt;0,INDEX(data!$E86:$H86,data!I86),""),"n/a"),"")</f>
        <v/>
      </c>
      <c r="H87" s="346" t="str">
        <f>IF(H$7&lt;=ActiveStage,IF(data!Z86,IF(data!J86&gt;0,INDEX(data!$E86:$H86,data!J86),""),"n/a"),"")</f>
        <v/>
      </c>
      <c r="I87" s="346" t="str">
        <f>IF(I$7&lt;=ActiveStage,IF(data!AA86,IF(data!K86&gt;0,INDEX(data!$E86:$H86,data!K86),""),"n/a"),"")</f>
        <v/>
      </c>
      <c r="J87" s="346" t="str">
        <f>IF(J$7&lt;=ActiveStage,IF(data!AB86,IF(data!L86&gt;0,INDEX(data!$E86:$H86,data!L86),""),"n/a"),"")</f>
        <v/>
      </c>
      <c r="K87" s="346" t="str">
        <f>IF(K$7&lt;=ActiveStage,IF(data!AC86,IF(data!M86&gt;0,INDEX(data!$E86:$H86,data!M86),""),"n/a"),"")</f>
        <v/>
      </c>
      <c r="L87" s="346" t="str">
        <f>IF(L$7&lt;=ActiveStage,IF(data!AD86,IF(data!N86&gt;0,INDEX(data!$E86:$H86,data!N86),""),"n/a"),"")</f>
        <v/>
      </c>
      <c r="M87" s="346" t="str">
        <f>IF(M$7&lt;=ActiveStage,IF(data!AE86,IF(data!O86&gt;0,INDEX(data!$E86:$H86,data!O86),""),"n/a"),"")</f>
        <v/>
      </c>
      <c r="N87" s="412" t="str">
        <f>IF(N$7&lt;=ActiveStage,IF(data!AF86,IF(data!P86&gt;0,INDEX(data!$E86:$H86,data!P86),""),"n/a"),"")</f>
        <v/>
      </c>
    </row>
    <row r="88" spans="3:14" ht="16" hidden="1" customHeight="1" x14ac:dyDescent="0.2">
      <c r="C88" s="351"/>
      <c r="D88" s="143" t="str">
        <f>data!C87</f>
        <v>D12</v>
      </c>
      <c r="E88" s="406">
        <f>data!D87</f>
        <v>0</v>
      </c>
      <c r="F88" s="17"/>
      <c r="G88" s="411" t="str">
        <f>IF(G$7&lt;=ActiveStage,IF(data!Y87,IF(data!I87&gt;0,INDEX(data!$E87:$H87,data!I87),""),"n/a"),"")</f>
        <v/>
      </c>
      <c r="H88" s="346" t="str">
        <f>IF(H$7&lt;=ActiveStage,IF(data!Z87,IF(data!J87&gt;0,INDEX(data!$E87:$H87,data!J87),""),"n/a"),"")</f>
        <v/>
      </c>
      <c r="I88" s="346" t="str">
        <f>IF(I$7&lt;=ActiveStage,IF(data!AA87,IF(data!K87&gt;0,INDEX(data!$E87:$H87,data!K87),""),"n/a"),"")</f>
        <v/>
      </c>
      <c r="J88" s="346" t="str">
        <f>IF(J$7&lt;=ActiveStage,IF(data!AB87,IF(data!L87&gt;0,INDEX(data!$E87:$H87,data!L87),""),"n/a"),"")</f>
        <v/>
      </c>
      <c r="K88" s="346" t="str">
        <f>IF(K$7&lt;=ActiveStage,IF(data!AC87,IF(data!M87&gt;0,INDEX(data!$E87:$H87,data!M87),""),"n/a"),"")</f>
        <v/>
      </c>
      <c r="L88" s="346" t="str">
        <f>IF(L$7&lt;=ActiveStage,IF(data!AD87,IF(data!N87&gt;0,INDEX(data!$E87:$H87,data!N87),""),"n/a"),"")</f>
        <v/>
      </c>
      <c r="M88" s="346" t="str">
        <f>IF(M$7&lt;=ActiveStage,IF(data!AE87,IF(data!O87&gt;0,INDEX(data!$E87:$H87,data!O87),""),"n/a"),"")</f>
        <v/>
      </c>
      <c r="N88" s="412" t="str">
        <f>IF(N$7&lt;=ActiveStage,IF(data!AF87,IF(data!P87&gt;0,INDEX(data!$E87:$H87,data!P87),""),"n/a"),"")</f>
        <v/>
      </c>
    </row>
    <row r="89" spans="3:14" ht="16" hidden="1" customHeight="1" x14ac:dyDescent="0.2">
      <c r="C89" s="351"/>
      <c r="D89" s="143" t="str">
        <f>data!C88</f>
        <v>D13</v>
      </c>
      <c r="E89" s="406">
        <f>data!D88</f>
        <v>0</v>
      </c>
      <c r="F89" s="17"/>
      <c r="G89" s="411" t="str">
        <f>IF(G$7&lt;=ActiveStage,IF(data!Y88,IF(data!I88&gt;0,INDEX(data!$E88:$H88,data!I88),""),"n/a"),"")</f>
        <v/>
      </c>
      <c r="H89" s="346" t="str">
        <f>IF(H$7&lt;=ActiveStage,IF(data!Z88,IF(data!J88&gt;0,INDEX(data!$E88:$H88,data!J88),""),"n/a"),"")</f>
        <v/>
      </c>
      <c r="I89" s="346" t="str">
        <f>IF(I$7&lt;=ActiveStage,IF(data!AA88,IF(data!K88&gt;0,INDEX(data!$E88:$H88,data!K88),""),"n/a"),"")</f>
        <v/>
      </c>
      <c r="J89" s="346" t="str">
        <f>IF(J$7&lt;=ActiveStage,IF(data!AB88,IF(data!L88&gt;0,INDEX(data!$E88:$H88,data!L88),""),"n/a"),"")</f>
        <v/>
      </c>
      <c r="K89" s="346" t="str">
        <f>IF(K$7&lt;=ActiveStage,IF(data!AC88,IF(data!M88&gt;0,INDEX(data!$E88:$H88,data!M88),""),"n/a"),"")</f>
        <v/>
      </c>
      <c r="L89" s="346" t="str">
        <f>IF(L$7&lt;=ActiveStage,IF(data!AD88,IF(data!N88&gt;0,INDEX(data!$E88:$H88,data!N88),""),"n/a"),"")</f>
        <v/>
      </c>
      <c r="M89" s="346" t="str">
        <f>IF(M$7&lt;=ActiveStage,IF(data!AE88,IF(data!O88&gt;0,INDEX(data!$E88:$H88,data!O88),""),"n/a"),"")</f>
        <v/>
      </c>
      <c r="N89" s="412" t="str">
        <f>IF(N$7&lt;=ActiveStage,IF(data!AF88,IF(data!P88&gt;0,INDEX(data!$E88:$H88,data!P88),""),"n/a"),"")</f>
        <v/>
      </c>
    </row>
    <row r="90" spans="3:14" ht="16" hidden="1" customHeight="1" x14ac:dyDescent="0.2">
      <c r="C90" s="351"/>
      <c r="D90" s="143" t="str">
        <f>data!C89</f>
        <v>D14</v>
      </c>
      <c r="E90" s="406">
        <f>data!D89</f>
        <v>0</v>
      </c>
      <c r="F90" s="17"/>
      <c r="G90" s="411" t="str">
        <f>IF(G$7&lt;=ActiveStage,IF(data!Y89,IF(data!I89&gt;0,INDEX(data!$E89:$H89,data!I89),""),"n/a"),"")</f>
        <v/>
      </c>
      <c r="H90" s="346" t="str">
        <f>IF(H$7&lt;=ActiveStage,IF(data!Z89,IF(data!J89&gt;0,INDEX(data!$E89:$H89,data!J89),""),"n/a"),"")</f>
        <v/>
      </c>
      <c r="I90" s="346" t="str">
        <f>IF(I$7&lt;=ActiveStage,IF(data!AA89,IF(data!K89&gt;0,INDEX(data!$E89:$H89,data!K89),""),"n/a"),"")</f>
        <v/>
      </c>
      <c r="J90" s="346" t="str">
        <f>IF(J$7&lt;=ActiveStage,IF(data!AB89,IF(data!L89&gt;0,INDEX(data!$E89:$H89,data!L89),""),"n/a"),"")</f>
        <v/>
      </c>
      <c r="K90" s="346" t="str">
        <f>IF(K$7&lt;=ActiveStage,IF(data!AC89,IF(data!M89&gt;0,INDEX(data!$E89:$H89,data!M89),""),"n/a"),"")</f>
        <v/>
      </c>
      <c r="L90" s="346" t="str">
        <f>IF(L$7&lt;=ActiveStage,IF(data!AD89,IF(data!N89&gt;0,INDEX(data!$E89:$H89,data!N89),""),"n/a"),"")</f>
        <v/>
      </c>
      <c r="M90" s="346" t="str">
        <f>IF(M$7&lt;=ActiveStage,IF(data!AE89,IF(data!O89&gt;0,INDEX(data!$E89:$H89,data!O89),""),"n/a"),"")</f>
        <v/>
      </c>
      <c r="N90" s="412" t="str">
        <f>IF(N$7&lt;=ActiveStage,IF(data!AF89,IF(data!P89&gt;0,INDEX(data!$E89:$H89,data!P89),""),"n/a"),"")</f>
        <v/>
      </c>
    </row>
    <row r="91" spans="3:14" ht="16" hidden="1" customHeight="1" x14ac:dyDescent="0.2">
      <c r="C91" s="351"/>
      <c r="D91" s="143" t="str">
        <f>data!C90</f>
        <v>D15</v>
      </c>
      <c r="E91" s="406">
        <f>data!D90</f>
        <v>0</v>
      </c>
      <c r="F91" s="17"/>
      <c r="G91" s="411" t="str">
        <f>IF(G$7&lt;=ActiveStage,IF(data!Y90,IF(data!I90&gt;0,INDEX(data!$E90:$H90,data!I90),""),"n/a"),"")</f>
        <v/>
      </c>
      <c r="H91" s="346" t="str">
        <f>IF(H$7&lt;=ActiveStage,IF(data!Z90,IF(data!J90&gt;0,INDEX(data!$E90:$H90,data!J90),""),"n/a"),"")</f>
        <v/>
      </c>
      <c r="I91" s="346" t="str">
        <f>IF(I$7&lt;=ActiveStage,IF(data!AA90,IF(data!K90&gt;0,INDEX(data!$E90:$H90,data!K90),""),"n/a"),"")</f>
        <v/>
      </c>
      <c r="J91" s="346" t="str">
        <f>IF(J$7&lt;=ActiveStage,IF(data!AB90,IF(data!L90&gt;0,INDEX(data!$E90:$H90,data!L90),""),"n/a"),"")</f>
        <v/>
      </c>
      <c r="K91" s="346" t="str">
        <f>IF(K$7&lt;=ActiveStage,IF(data!AC90,IF(data!M90&gt;0,INDEX(data!$E90:$H90,data!M90),""),"n/a"),"")</f>
        <v/>
      </c>
      <c r="L91" s="346" t="str">
        <f>IF(L$7&lt;=ActiveStage,IF(data!AD90,IF(data!N90&gt;0,INDEX(data!$E90:$H90,data!N90),""),"n/a"),"")</f>
        <v/>
      </c>
      <c r="M91" s="346" t="str">
        <f>IF(M$7&lt;=ActiveStage,IF(data!AE90,IF(data!O90&gt;0,INDEX(data!$E90:$H90,data!O90),""),"n/a"),"")</f>
        <v/>
      </c>
      <c r="N91" s="412" t="str">
        <f>IF(N$7&lt;=ActiveStage,IF(data!AF90,IF(data!P90&gt;0,INDEX(data!$E90:$H90,data!P90),""),"n/a"),"")</f>
        <v/>
      </c>
    </row>
    <row r="92" spans="3:14" ht="16" hidden="1" customHeight="1" x14ac:dyDescent="0.2">
      <c r="C92" s="351"/>
      <c r="D92" s="143" t="str">
        <f>data!C91</f>
        <v>D16</v>
      </c>
      <c r="E92" s="406">
        <f>data!D91</f>
        <v>0</v>
      </c>
      <c r="F92" s="17"/>
      <c r="G92" s="411" t="str">
        <f>IF(G$7&lt;=ActiveStage,IF(data!Y91,IF(data!I91&gt;0,INDEX(data!$E91:$H91,data!I91),""),"n/a"),"")</f>
        <v/>
      </c>
      <c r="H92" s="346" t="str">
        <f>IF(H$7&lt;=ActiveStage,IF(data!Z91,IF(data!J91&gt;0,INDEX(data!$E91:$H91,data!J91),""),"n/a"),"")</f>
        <v/>
      </c>
      <c r="I92" s="346" t="str">
        <f>IF(I$7&lt;=ActiveStage,IF(data!AA91,IF(data!K91&gt;0,INDEX(data!$E91:$H91,data!K91),""),"n/a"),"")</f>
        <v/>
      </c>
      <c r="J92" s="346" t="str">
        <f>IF(J$7&lt;=ActiveStage,IF(data!AB91,IF(data!L91&gt;0,INDEX(data!$E91:$H91,data!L91),""),"n/a"),"")</f>
        <v/>
      </c>
      <c r="K92" s="346" t="str">
        <f>IF(K$7&lt;=ActiveStage,IF(data!AC91,IF(data!M91&gt;0,INDEX(data!$E91:$H91,data!M91),""),"n/a"),"")</f>
        <v/>
      </c>
      <c r="L92" s="346" t="str">
        <f>IF(L$7&lt;=ActiveStage,IF(data!AD91,IF(data!N91&gt;0,INDEX(data!$E91:$H91,data!N91),""),"n/a"),"")</f>
        <v/>
      </c>
      <c r="M92" s="346" t="str">
        <f>IF(M$7&lt;=ActiveStage,IF(data!AE91,IF(data!O91&gt;0,INDEX(data!$E91:$H91,data!O91),""),"n/a"),"")</f>
        <v/>
      </c>
      <c r="N92" s="412" t="str">
        <f>IF(N$7&lt;=ActiveStage,IF(data!AF91,IF(data!P91&gt;0,INDEX(data!$E91:$H91,data!P91),""),"n/a"),"")</f>
        <v/>
      </c>
    </row>
    <row r="93" spans="3:14" ht="16" hidden="1" customHeight="1" x14ac:dyDescent="0.2">
      <c r="C93" s="351"/>
      <c r="D93" s="143" t="str">
        <f>data!C92</f>
        <v>D17</v>
      </c>
      <c r="E93" s="406">
        <f>data!D92</f>
        <v>0</v>
      </c>
      <c r="F93" s="17"/>
      <c r="G93" s="411" t="str">
        <f>IF(G$7&lt;=ActiveStage,IF(data!Y92,IF(data!I92&gt;0,INDEX(data!$E92:$H92,data!I92),""),"n/a"),"")</f>
        <v/>
      </c>
      <c r="H93" s="346" t="str">
        <f>IF(H$7&lt;=ActiveStage,IF(data!Z92,IF(data!J92&gt;0,INDEX(data!$E92:$H92,data!J92),""),"n/a"),"")</f>
        <v/>
      </c>
      <c r="I93" s="346" t="str">
        <f>IF(I$7&lt;=ActiveStage,IF(data!AA92,IF(data!K92&gt;0,INDEX(data!$E92:$H92,data!K92),""),"n/a"),"")</f>
        <v/>
      </c>
      <c r="J93" s="346" t="str">
        <f>IF(J$7&lt;=ActiveStage,IF(data!AB92,IF(data!L92&gt;0,INDEX(data!$E92:$H92,data!L92),""),"n/a"),"")</f>
        <v/>
      </c>
      <c r="K93" s="346" t="str">
        <f>IF(K$7&lt;=ActiveStage,IF(data!AC92,IF(data!M92&gt;0,INDEX(data!$E92:$H92,data!M92),""),"n/a"),"")</f>
        <v/>
      </c>
      <c r="L93" s="346" t="str">
        <f>IF(L$7&lt;=ActiveStage,IF(data!AD92,IF(data!N92&gt;0,INDEX(data!$E92:$H92,data!N92),""),"n/a"),"")</f>
        <v/>
      </c>
      <c r="M93" s="346" t="str">
        <f>IF(M$7&lt;=ActiveStage,IF(data!AE92,IF(data!O92&gt;0,INDEX(data!$E92:$H92,data!O92),""),"n/a"),"")</f>
        <v/>
      </c>
      <c r="N93" s="412" t="str">
        <f>IF(N$7&lt;=ActiveStage,IF(data!AF92,IF(data!P92&gt;0,INDEX(data!$E92:$H92,data!P92),""),"n/a"),"")</f>
        <v/>
      </c>
    </row>
    <row r="94" spans="3:14" ht="16" hidden="1" customHeight="1" x14ac:dyDescent="0.2">
      <c r="C94" s="351"/>
      <c r="D94" s="143" t="str">
        <f>data!C93</f>
        <v>D18</v>
      </c>
      <c r="E94" s="406">
        <f>data!D93</f>
        <v>0</v>
      </c>
      <c r="F94" s="17"/>
      <c r="G94" s="411" t="str">
        <f>IF(G$7&lt;=ActiveStage,IF(data!Y93,IF(data!I93&gt;0,INDEX(data!$E93:$H93,data!I93),""),"n/a"),"")</f>
        <v/>
      </c>
      <c r="H94" s="346" t="str">
        <f>IF(H$7&lt;=ActiveStage,IF(data!Z93,IF(data!J93&gt;0,INDEX(data!$E93:$H93,data!J93),""),"n/a"),"")</f>
        <v/>
      </c>
      <c r="I94" s="346" t="str">
        <f>IF(I$7&lt;=ActiveStage,IF(data!AA93,IF(data!K93&gt;0,INDEX(data!$E93:$H93,data!K93),""),"n/a"),"")</f>
        <v/>
      </c>
      <c r="J94" s="346" t="str">
        <f>IF(J$7&lt;=ActiveStage,IF(data!AB93,IF(data!L93&gt;0,INDEX(data!$E93:$H93,data!L93),""),"n/a"),"")</f>
        <v/>
      </c>
      <c r="K94" s="346" t="str">
        <f>IF(K$7&lt;=ActiveStage,IF(data!AC93,IF(data!M93&gt;0,INDEX(data!$E93:$H93,data!M93),""),"n/a"),"")</f>
        <v/>
      </c>
      <c r="L94" s="346" t="str">
        <f>IF(L$7&lt;=ActiveStage,IF(data!AD93,IF(data!N93&gt;0,INDEX(data!$E93:$H93,data!N93),""),"n/a"),"")</f>
        <v/>
      </c>
      <c r="M94" s="346" t="str">
        <f>IF(M$7&lt;=ActiveStage,IF(data!AE93,IF(data!O93&gt;0,INDEX(data!$E93:$H93,data!O93),""),"n/a"),"")</f>
        <v/>
      </c>
      <c r="N94" s="412" t="str">
        <f>IF(N$7&lt;=ActiveStage,IF(data!AF93,IF(data!P93&gt;0,INDEX(data!$E93:$H93,data!P93),""),"n/a"),"")</f>
        <v/>
      </c>
    </row>
    <row r="95" spans="3:14" ht="16" hidden="1" customHeight="1" x14ac:dyDescent="0.2">
      <c r="C95" s="351"/>
      <c r="D95" s="143" t="str">
        <f>data!C94</f>
        <v>D19</v>
      </c>
      <c r="E95" s="406">
        <f>data!D94</f>
        <v>0</v>
      </c>
      <c r="F95" s="17"/>
      <c r="G95" s="411" t="str">
        <f>IF(G$7&lt;=ActiveStage,IF(data!Y94,IF(data!I94&gt;0,INDEX(data!$E94:$H94,data!I94),""),"n/a"),"")</f>
        <v/>
      </c>
      <c r="H95" s="346" t="str">
        <f>IF(H$7&lt;=ActiveStage,IF(data!Z94,IF(data!J94&gt;0,INDEX(data!$E94:$H94,data!J94),""),"n/a"),"")</f>
        <v/>
      </c>
      <c r="I95" s="346" t="str">
        <f>IF(I$7&lt;=ActiveStage,IF(data!AA94,IF(data!K94&gt;0,INDEX(data!$E94:$H94,data!K94),""),"n/a"),"")</f>
        <v/>
      </c>
      <c r="J95" s="346" t="str">
        <f>IF(J$7&lt;=ActiveStage,IF(data!AB94,IF(data!L94&gt;0,INDEX(data!$E94:$H94,data!L94),""),"n/a"),"")</f>
        <v/>
      </c>
      <c r="K95" s="346" t="str">
        <f>IF(K$7&lt;=ActiveStage,IF(data!AC94,IF(data!M94&gt;0,INDEX(data!$E94:$H94,data!M94),""),"n/a"),"")</f>
        <v/>
      </c>
      <c r="L95" s="346" t="str">
        <f>IF(L$7&lt;=ActiveStage,IF(data!AD94,IF(data!N94&gt;0,INDEX(data!$E94:$H94,data!N94),""),"n/a"),"")</f>
        <v/>
      </c>
      <c r="M95" s="346" t="str">
        <f>IF(M$7&lt;=ActiveStage,IF(data!AE94,IF(data!O94&gt;0,INDEX(data!$E94:$H94,data!O94),""),"n/a"),"")</f>
        <v/>
      </c>
      <c r="N95" s="412" t="str">
        <f>IF(N$7&lt;=ActiveStage,IF(data!AF94,IF(data!P94&gt;0,INDEX(data!$E94:$H94,data!P94),""),"n/a"),"")</f>
        <v/>
      </c>
    </row>
    <row r="96" spans="3:14" ht="16" hidden="1" customHeight="1" x14ac:dyDescent="0.2">
      <c r="C96" s="351"/>
      <c r="D96" s="146" t="str">
        <f>data!C95</f>
        <v>D20</v>
      </c>
      <c r="E96" s="407">
        <f>data!D95</f>
        <v>0</v>
      </c>
      <c r="F96" s="17"/>
      <c r="G96" s="413" t="str">
        <f>IF(G$7&lt;=ActiveStage,IF(data!Y95,IF(data!I95&gt;0,INDEX(data!$E95:$H95,data!I95),""),"n/a"),"")</f>
        <v/>
      </c>
      <c r="H96" s="414" t="str">
        <f>IF(H$7&lt;=ActiveStage,IF(data!Z95,IF(data!J95&gt;0,INDEX(data!$E95:$H95,data!J95),""),"n/a"),"")</f>
        <v/>
      </c>
      <c r="I96" s="414" t="str">
        <f>IF(I$7&lt;=ActiveStage,IF(data!AA95,IF(data!K95&gt;0,INDEX(data!$E95:$H95,data!K95),""),"n/a"),"")</f>
        <v/>
      </c>
      <c r="J96" s="414" t="str">
        <f>IF(J$7&lt;=ActiveStage,IF(data!AB95,IF(data!L95&gt;0,INDEX(data!$E95:$H95,data!L95),""),"n/a"),"")</f>
        <v/>
      </c>
      <c r="K96" s="414" t="str">
        <f>IF(K$7&lt;=ActiveStage,IF(data!AC95,IF(data!M95&gt;0,INDEX(data!$E95:$H95,data!M95),""),"n/a"),"")</f>
        <v/>
      </c>
      <c r="L96" s="414" t="str">
        <f>IF(L$7&lt;=ActiveStage,IF(data!AD95,IF(data!N95&gt;0,INDEX(data!$E95:$H95,data!N95),""),"n/a"),"")</f>
        <v/>
      </c>
      <c r="M96" s="414" t="str">
        <f>IF(M$7&lt;=ActiveStage,IF(data!AE95,IF(data!O95&gt;0,INDEX(data!$E95:$H95,data!O95),""),"n/a"),"")</f>
        <v/>
      </c>
      <c r="N96" s="415" t="str">
        <f>IF(N$7&lt;=ActiveStage,IF(data!AF95,IF(data!P95&gt;0,INDEX(data!$E95:$H95,data!P95),""),"n/a"),"")</f>
        <v/>
      </c>
    </row>
    <row r="97" spans="3:14" ht="16" customHeight="1" x14ac:dyDescent="0.2">
      <c r="C97" s="17"/>
      <c r="D97" s="443"/>
      <c r="E97" s="444"/>
      <c r="F97" s="17"/>
      <c r="G97" s="365" t="str">
        <f>IF(G$7&lt;=ActiveStage,IF(data!Y96,IF(data!I96&gt;0,INDEX(data!$E96:$H96,data!I96),""),"n/a"),"")</f>
        <v/>
      </c>
      <c r="H97" s="365" t="str">
        <f>IF(H$7&lt;=ActiveStage,IF(data!Z96,IF(data!J96&gt;0,INDEX(data!$E96:$H96,data!J96),""),"n/a"),"")</f>
        <v/>
      </c>
      <c r="I97" s="365" t="str">
        <f>IF(I$7&lt;=ActiveStage,IF(data!AA96,IF(data!K96&gt;0,INDEX(data!$E96:$H96,data!K96),""),"n/a"),"")</f>
        <v/>
      </c>
      <c r="J97" s="365" t="str">
        <f>IF(J$7&lt;=ActiveStage,IF(data!AB96,IF(data!L96&gt;0,INDEX(data!$E96:$H96,data!L96),""),"n/a"),"")</f>
        <v/>
      </c>
      <c r="K97" s="365" t="str">
        <f>IF(K$7&lt;=ActiveStage,IF(data!AC96,IF(data!M96&gt;0,INDEX(data!$E96:$H96,data!M96),""),"n/a"),"")</f>
        <v/>
      </c>
      <c r="L97" s="365" t="str">
        <f>IF(L$7&lt;=ActiveStage,IF(data!AD96,IF(data!N96&gt;0,INDEX(data!$E96:$H96,data!N96),""),"n/a"),"")</f>
        <v/>
      </c>
      <c r="M97" s="365" t="str">
        <f>IF(M$7&lt;=ActiveStage,IF(data!AE96,IF(data!O96&gt;0,INDEX(data!$E96:$H96,data!O96),""),"n/a"),"")</f>
        <v/>
      </c>
      <c r="N97" s="365" t="str">
        <f>IF(N$7&lt;=ActiveStage,IF(data!AF96,IF(data!P96&gt;0,INDEX(data!$E96:$H96,data!P96),""),"n/a"),"")</f>
        <v/>
      </c>
    </row>
    <row r="98" spans="3:14" ht="16" hidden="1" customHeight="1" x14ac:dyDescent="0.2">
      <c r="C98" s="17"/>
      <c r="D98" s="97"/>
      <c r="E98" s="354"/>
      <c r="F98" s="17"/>
      <c r="G98" s="347" t="str">
        <f>IF(G$7&lt;=ActiveStage,IF(data!Y97,IF(data!I97&gt;0,INDEX(data!$E97:$H97,data!I97),""),"n/a"),"")</f>
        <v/>
      </c>
      <c r="H98" s="347" t="str">
        <f>IF(H$7&lt;=ActiveStage,IF(data!Z97,IF(data!J97&gt;0,INDEX(data!$E97:$H97,data!J97),""),"n/a"),"")</f>
        <v/>
      </c>
      <c r="I98" s="347" t="str">
        <f>IF(I$7&lt;=ActiveStage,IF(data!AA97,IF(data!K97&gt;0,INDEX(data!$E97:$H97,data!K97),""),"n/a"),"")</f>
        <v/>
      </c>
      <c r="J98" s="347" t="str">
        <f>IF(J$7&lt;=ActiveStage,IF(data!AB97,IF(data!L97&gt;0,INDEX(data!$E97:$H97,data!L97),""),"n/a"),"")</f>
        <v/>
      </c>
      <c r="K98" s="347" t="str">
        <f>IF(K$7&lt;=ActiveStage,IF(data!AC97,IF(data!M97&gt;0,INDEX(data!$E97:$H97,data!M97),""),"n/a"),"")</f>
        <v/>
      </c>
      <c r="L98" s="347" t="str">
        <f>IF(L$7&lt;=ActiveStage,IF(data!AD97,IF(data!N97&gt;0,INDEX(data!$E97:$H97,data!N97),""),"n/a"),"")</f>
        <v/>
      </c>
      <c r="M98" s="347" t="str">
        <f>IF(M$7&lt;=ActiveStage,IF(data!AE97,IF(data!O97&gt;0,INDEX(data!$E97:$H97,data!O97),""),"n/a"),"")</f>
        <v/>
      </c>
      <c r="N98" s="347" t="str">
        <f>IF(N$7&lt;=ActiveStage,IF(data!AF97,IF(data!P97&gt;0,INDEX(data!$E97:$H97,data!P97),""),"n/a"),"")</f>
        <v/>
      </c>
    </row>
    <row r="99" spans="3:14" ht="16" customHeight="1" x14ac:dyDescent="0.2">
      <c r="C99" s="543" t="str">
        <f>Stage!C102</f>
        <v>E</v>
      </c>
      <c r="D99" s="153" t="str">
        <f>data!C98</f>
        <v>E1</v>
      </c>
      <c r="E99" s="416" t="str">
        <f>data!D98</f>
        <v>Straightforward construction methodology</v>
      </c>
      <c r="F99" s="17"/>
      <c r="G99" s="419" t="str">
        <f>IF(G$7&lt;=ActiveStage,IF(data!Y98,IF(data!I98&gt;0,INDEX(data!$E98:$H98,data!I98),""),"n/a"),"")</f>
        <v/>
      </c>
      <c r="H99" s="420" t="str">
        <f>IF(H$7&lt;=ActiveStage,IF(data!Z98,IF(data!J98&gt;0,INDEX(data!$E98:$H98,data!J98),""),"n/a"),"")</f>
        <v/>
      </c>
      <c r="I99" s="420" t="str">
        <f>IF(I$7&lt;=ActiveStage,IF(data!AA98,IF(data!K98&gt;0,INDEX(data!$E98:$H98,data!K98),""),"n/a"),"")</f>
        <v/>
      </c>
      <c r="J99" s="420" t="str">
        <f>IF(J$7&lt;=ActiveStage,IF(data!AB98,IF(data!L98&gt;0,INDEX(data!$E98:$H98,data!L98),""),"n/a"),"")</f>
        <v/>
      </c>
      <c r="K99" s="420" t="str">
        <f>IF(K$7&lt;=ActiveStage,IF(data!AC98,IF(data!M98&gt;0,INDEX(data!$E98:$H98,data!M98),""),"n/a"),"")</f>
        <v/>
      </c>
      <c r="L99" s="420" t="str">
        <f>IF(L$7&lt;=ActiveStage,IF(data!AD98,IF(data!N98&gt;0,INDEX(data!$E98:$H98,data!N98),""),"n/a"),"")</f>
        <v/>
      </c>
      <c r="M99" s="420" t="str">
        <f>IF(M$7&lt;=ActiveStage,IF(data!AE98,IF(data!O98&gt;0,INDEX(data!$E98:$H98,data!O98),""),"n/a"),"")</f>
        <v/>
      </c>
      <c r="N99" s="421" t="str">
        <f>IF(N$7&lt;=ActiveStage,IF(data!AF98,IF(data!P98&gt;0,INDEX(data!$E98:$H98,data!P98),""),"n/a"),"")</f>
        <v/>
      </c>
    </row>
    <row r="100" spans="3:14" ht="16" customHeight="1" x14ac:dyDescent="0.2">
      <c r="C100" s="543"/>
      <c r="D100" s="160" t="str">
        <f>data!C99</f>
        <v>E2</v>
      </c>
      <c r="E100" s="417" t="str">
        <f>data!D99</f>
        <v>Tender packages unambiguous and comprehensively documented</v>
      </c>
      <c r="F100" s="17"/>
      <c r="G100" s="422" t="str">
        <f>IF(G$7&lt;=ActiveStage,IF(data!Y99,IF(data!I99&gt;0,INDEX(data!$E99:$H99,data!I99),""),"n/a"),"")</f>
        <v>n/a</v>
      </c>
      <c r="H100" s="346" t="str">
        <f>IF(H$7&lt;=ActiveStage,IF(data!Z99,IF(data!J99&gt;0,INDEX(data!$E99:$H99,data!J99),""),"n/a"),"")</f>
        <v/>
      </c>
      <c r="I100" s="346" t="str">
        <f>IF(I$7&lt;=ActiveStage,IF(data!AA99,IF(data!K99&gt;0,INDEX(data!$E99:$H99,data!K99),""),"n/a"),"")</f>
        <v/>
      </c>
      <c r="J100" s="346" t="str">
        <f>IF(J$7&lt;=ActiveStage,IF(data!AB99,IF(data!L99&gt;0,INDEX(data!$E99:$H99,data!L99),""),"n/a"),"")</f>
        <v/>
      </c>
      <c r="K100" s="346" t="str">
        <f>IF(K$7&lt;=ActiveStage,IF(data!AC99,IF(data!M99&gt;0,INDEX(data!$E99:$H99,data!M99),""),"n/a"),"")</f>
        <v/>
      </c>
      <c r="L100" s="346" t="str">
        <f>IF(L$7&lt;=ActiveStage,IF(data!AD99,IF(data!N99&gt;0,INDEX(data!$E99:$H99,data!N99),""),"n/a"),"")</f>
        <v/>
      </c>
      <c r="M100" s="346" t="str">
        <f>IF(M$7&lt;=ActiveStage,IF(data!AE99,IF(data!O99&gt;0,INDEX(data!$E99:$H99,data!O99),""),"n/a"),"")</f>
        <v/>
      </c>
      <c r="N100" s="423" t="str">
        <f>IF(N$7&lt;=ActiveStage,IF(data!AF99,IF(data!P99&gt;0,INDEX(data!$E99:$H99,data!P99),""),"n/a"),"")</f>
        <v/>
      </c>
    </row>
    <row r="101" spans="3:14" ht="16" customHeight="1" x14ac:dyDescent="0.2">
      <c r="C101" s="543"/>
      <c r="D101" s="160" t="str">
        <f>data!C100</f>
        <v>E3</v>
      </c>
      <c r="E101" s="417" t="str">
        <f>data!D100</f>
        <v>ERs specify required quality of materials &amp; workmanship</v>
      </c>
      <c r="F101" s="17"/>
      <c r="G101" s="422" t="str">
        <f>IF(G$7&lt;=ActiveStage,IF(data!Y100,IF(data!I100&gt;0,INDEX(data!$E100:$H100,data!I100),""),"n/a"),"")</f>
        <v/>
      </c>
      <c r="H101" s="346" t="str">
        <f>IF(H$7&lt;=ActiveStage,IF(data!Z100,IF(data!J100&gt;0,INDEX(data!$E100:$H100,data!J100),""),"n/a"),"")</f>
        <v/>
      </c>
      <c r="I101" s="346" t="str">
        <f>IF(I$7&lt;=ActiveStage,IF(data!AA100,IF(data!K100&gt;0,INDEX(data!$E100:$H100,data!K100),""),"n/a"),"")</f>
        <v/>
      </c>
      <c r="J101" s="346" t="str">
        <f>IF(J$7&lt;=ActiveStage,IF(data!AB100,IF(data!L100&gt;0,INDEX(data!$E100:$H100,data!L100),""),"n/a"),"")</f>
        <v/>
      </c>
      <c r="K101" s="346" t="str">
        <f>IF(K$7&lt;=ActiveStage,IF(data!AC100,IF(data!M100&gt;0,INDEX(data!$E100:$H100,data!M100),""),"n/a"),"")</f>
        <v/>
      </c>
      <c r="L101" s="346" t="str">
        <f>IF(L$7&lt;=ActiveStage,IF(data!AD100,IF(data!N100&gt;0,INDEX(data!$E100:$H100,data!N100),""),"n/a"),"")</f>
        <v/>
      </c>
      <c r="M101" s="346" t="str">
        <f>IF(M$7&lt;=ActiveStage,IF(data!AE100,IF(data!O100&gt;0,INDEX(data!$E100:$H100,data!O100),""),"n/a"),"")</f>
        <v/>
      </c>
      <c r="N101" s="423" t="str">
        <f>IF(N$7&lt;=ActiveStage,IF(data!AF100,IF(data!P100&gt;0,INDEX(data!$E100:$H100,data!P100),""),"n/a"),"")</f>
        <v/>
      </c>
    </row>
    <row r="102" spans="3:14" ht="16" customHeight="1" x14ac:dyDescent="0.2">
      <c r="C102" s="542" t="str">
        <f>Stage!D102</f>
        <v>Likelihood of Obtaining Competitive Tenders</v>
      </c>
      <c r="D102" s="160" t="str">
        <f>data!C101</f>
        <v>E4</v>
      </c>
      <c r="E102" s="417" t="str">
        <f>data!D101</f>
        <v>Design does not require significant subcontractor design input</v>
      </c>
      <c r="F102" s="17"/>
      <c r="G102" s="422" t="str">
        <f>IF(G$7&lt;=ActiveStage,IF(data!Y101,IF(data!I101&gt;0,INDEX(data!$E101:$H101,data!I101),""),"n/a"),"")</f>
        <v/>
      </c>
      <c r="H102" s="346" t="str">
        <f>IF(H$7&lt;=ActiveStage,IF(data!Z101,IF(data!J101&gt;0,INDEX(data!$E101:$H101,data!J101),""),"n/a"),"")</f>
        <v/>
      </c>
      <c r="I102" s="346" t="str">
        <f>IF(I$7&lt;=ActiveStage,IF(data!AA101,IF(data!K101&gt;0,INDEX(data!$E101:$H101,data!K101),""),"n/a"),"")</f>
        <v/>
      </c>
      <c r="J102" s="346" t="str">
        <f>IF(J$7&lt;=ActiveStage,IF(data!AB101,IF(data!L101&gt;0,INDEX(data!$E101:$H101,data!L101),""),"n/a"),"")</f>
        <v/>
      </c>
      <c r="K102" s="346" t="str">
        <f>IF(K$7&lt;=ActiveStage,IF(data!AC101,IF(data!M101&gt;0,INDEX(data!$E101:$H101,data!M101),""),"n/a"),"")</f>
        <v/>
      </c>
      <c r="L102" s="346" t="str">
        <f>IF(L$7&lt;=ActiveStage,IF(data!AD101,IF(data!N101&gt;0,INDEX(data!$E101:$H101,data!N101),""),"n/a"),"")</f>
        <v/>
      </c>
      <c r="M102" s="346" t="str">
        <f>IF(M$7&lt;=ActiveStage,IF(data!AE101,IF(data!O101&gt;0,INDEX(data!$E101:$H101,data!O101),""),"n/a"),"")</f>
        <v/>
      </c>
      <c r="N102" s="423" t="str">
        <f>IF(N$7&lt;=ActiveStage,IF(data!AF101,IF(data!P101&gt;0,INDEX(data!$E101:$H101,data!P101),""),"n/a"),"")</f>
        <v/>
      </c>
    </row>
    <row r="103" spans="3:14" ht="16" customHeight="1" x14ac:dyDescent="0.2">
      <c r="C103" s="542"/>
      <c r="D103" s="160" t="str">
        <f>data!C102</f>
        <v>E5</v>
      </c>
      <c r="E103" s="417" t="str">
        <f>data!D102</f>
        <v>Project Lead accepts contractor's material substitutions obtained</v>
      </c>
      <c r="F103" s="17"/>
      <c r="G103" s="422" t="str">
        <f>IF(G$7&lt;=ActiveStage,IF(data!Y102,IF(data!I102&gt;0,INDEX(data!$E102:$H102,data!I102),""),"n/a"),"")</f>
        <v>n/a</v>
      </c>
      <c r="H103" s="346" t="str">
        <f>IF(H$7&lt;=ActiveStage,IF(data!Z102,IF(data!J102&gt;0,INDEX(data!$E102:$H102,data!J102),""),"n/a"),"")</f>
        <v/>
      </c>
      <c r="I103" s="346" t="str">
        <f>IF(I$7&lt;=ActiveStage,IF(data!AA102,IF(data!K102&gt;0,INDEX(data!$E102:$H102,data!K102),""),"n/a"),"")</f>
        <v/>
      </c>
      <c r="J103" s="346" t="str">
        <f>IF(J$7&lt;=ActiveStage,IF(data!AB102,IF(data!L102&gt;0,INDEX(data!$E102:$H102,data!L102),""),"n/a"),"")</f>
        <v/>
      </c>
      <c r="K103" s="346" t="str">
        <f>IF(K$7&lt;=ActiveStage,IF(data!AC102,IF(data!M102&gt;0,INDEX(data!$E102:$H102,data!M102),""),"n/a"),"")</f>
        <v/>
      </c>
      <c r="L103" s="346" t="str">
        <f>IF(L$7&lt;=ActiveStage,IF(data!AD102,IF(data!N102&gt;0,INDEX(data!$E102:$H102,data!N102),""),"n/a"),"")</f>
        <v/>
      </c>
      <c r="M103" s="346" t="str">
        <f>IF(M$7&lt;=ActiveStage,IF(data!AE102,IF(data!O102&gt;0,INDEX(data!$E102:$H102,data!O102),""),"n/a"),"")</f>
        <v/>
      </c>
      <c r="N103" s="423" t="str">
        <f>IF(N$7&lt;=ActiveStage,IF(data!AF102,IF(data!P102&gt;0,INDEX(data!$E102:$H102,data!P102),""),"n/a"),"")</f>
        <v/>
      </c>
    </row>
    <row r="104" spans="3:14" ht="16" customHeight="1" x14ac:dyDescent="0.2">
      <c r="C104" s="542"/>
      <c r="D104" s="160" t="str">
        <f>data!C103</f>
        <v>E6</v>
      </c>
      <c r="E104" s="417" t="str">
        <f>data!D103</f>
        <v>Project team has engaged early with main contractors</v>
      </c>
      <c r="F104" s="17"/>
      <c r="G104" s="422" t="str">
        <f>IF(G$7&lt;=ActiveStage,IF(data!Y103,IF(data!I103&gt;0,INDEX(data!$E103:$H103,data!I103),""),"n/a"),"")</f>
        <v>n/a</v>
      </c>
      <c r="H104" s="346" t="str">
        <f>IF(H$7&lt;=ActiveStage,IF(data!Z103,IF(data!J103&gt;0,INDEX(data!$E103:$H103,data!J103),""),"n/a"),"")</f>
        <v/>
      </c>
      <c r="I104" s="346" t="str">
        <f>IF(I$7&lt;=ActiveStage,IF(data!AA103,IF(data!K103&gt;0,INDEX(data!$E103:$H103,data!K103),""),"n/a"),"")</f>
        <v/>
      </c>
      <c r="J104" s="346" t="str">
        <f>IF(J$7&lt;=ActiveStage,IF(data!AB103,IF(data!L103&gt;0,INDEX(data!$E103:$H103,data!L103),""),"n/a"),"")</f>
        <v/>
      </c>
      <c r="K104" s="346" t="str">
        <f>IF(K$7&lt;=ActiveStage,IF(data!AC103,IF(data!M103&gt;0,INDEX(data!$E103:$H103,data!M103),""),"n/a"),"")</f>
        <v/>
      </c>
      <c r="L104" s="346" t="str">
        <f>IF(L$7&lt;=ActiveStage,IF(data!AD103,IF(data!N103&gt;0,INDEX(data!$E103:$H103,data!N103),""),"n/a"),"")</f>
        <v/>
      </c>
      <c r="M104" s="346" t="str">
        <f>IF(M$7&lt;=ActiveStage,IF(data!AE103,IF(data!O103&gt;0,INDEX(data!$E103:$H103,data!O103),""),"n/a"),"")</f>
        <v/>
      </c>
      <c r="N104" s="423" t="str">
        <f>IF(N$7&lt;=ActiveStage,IF(data!AF103,IF(data!P103&gt;0,INDEX(data!$E103:$H103,data!P103),""),"n/a"),"")</f>
        <v/>
      </c>
    </row>
    <row r="105" spans="3:14" ht="16" customHeight="1" x14ac:dyDescent="0.2">
      <c r="C105" s="542"/>
      <c r="D105" s="160" t="str">
        <f>data!C104</f>
        <v>E7</v>
      </c>
      <c r="E105" s="417" t="str">
        <f>data!D104</f>
        <v>Project team has engaged early with supply chain</v>
      </c>
      <c r="F105" s="17"/>
      <c r="G105" s="422" t="str">
        <f>IF(G$7&lt;=ActiveStage,IF(data!Y104,IF(data!I104&gt;0,INDEX(data!$E104:$H104,data!I104),""),"n/a"),"")</f>
        <v>n/a</v>
      </c>
      <c r="H105" s="346" t="str">
        <f>IF(H$7&lt;=ActiveStage,IF(data!Z104,IF(data!J104&gt;0,INDEX(data!$E104:$H104,data!J104),""),"n/a"),"")</f>
        <v/>
      </c>
      <c r="I105" s="346" t="str">
        <f>IF(I$7&lt;=ActiveStage,IF(data!AA104,IF(data!K104&gt;0,INDEX(data!$E104:$H104,data!K104),""),"n/a"),"")</f>
        <v/>
      </c>
      <c r="J105" s="346" t="str">
        <f>IF(J$7&lt;=ActiveStage,IF(data!AB104,IF(data!L104&gt;0,INDEX(data!$E104:$H104,data!L104),""),"n/a"),"")</f>
        <v/>
      </c>
      <c r="K105" s="346" t="str">
        <f>IF(K$7&lt;=ActiveStage,IF(data!AC104,IF(data!M104&gt;0,INDEX(data!$E104:$H104,data!M104),""),"n/a"),"")</f>
        <v/>
      </c>
      <c r="L105" s="346" t="str">
        <f>IF(L$7&lt;=ActiveStage,IF(data!AD104,IF(data!N104&gt;0,INDEX(data!$E104:$H104,data!N104),""),"n/a"),"")</f>
        <v/>
      </c>
      <c r="M105" s="346" t="str">
        <f>IF(M$7&lt;=ActiveStage,IF(data!AE104,IF(data!O104&gt;0,INDEX(data!$E104:$H104,data!O104),""),"n/a"),"")</f>
        <v/>
      </c>
      <c r="N105" s="423" t="str">
        <f>IF(N$7&lt;=ActiveStage,IF(data!AF104,IF(data!P104&gt;0,INDEX(data!$E104:$H104,data!P104),""),"n/a"),"")</f>
        <v/>
      </c>
    </row>
    <row r="106" spans="3:14" ht="16" customHeight="1" x14ac:dyDescent="0.2">
      <c r="C106" s="542"/>
      <c r="D106" s="160" t="str">
        <f>data!C105</f>
        <v>E8</v>
      </c>
      <c r="E106" s="417" t="str">
        <f>data!D105</f>
        <v>Project team has identified key specialisms likely to be required</v>
      </c>
      <c r="F106" s="17"/>
      <c r="G106" s="422" t="str">
        <f>IF(G$7&lt;=ActiveStage,IF(data!Y105,IF(data!I105&gt;0,INDEX(data!$E105:$H105,data!I105),""),"n/a"),"")</f>
        <v/>
      </c>
      <c r="H106" s="346" t="str">
        <f>IF(H$7&lt;=ActiveStage,IF(data!Z105,IF(data!J105&gt;0,INDEX(data!$E105:$H105,data!J105),""),"n/a"),"")</f>
        <v/>
      </c>
      <c r="I106" s="346" t="str">
        <f>IF(I$7&lt;=ActiveStage,IF(data!AA105,IF(data!K105&gt;0,INDEX(data!$E105:$H105,data!K105),""),"n/a"),"")</f>
        <v/>
      </c>
      <c r="J106" s="346" t="str">
        <f>IF(J$7&lt;=ActiveStage,IF(data!AB105,IF(data!L105&gt;0,INDEX(data!$E105:$H105,data!L105),""),"n/a"),"")</f>
        <v/>
      </c>
      <c r="K106" s="346" t="str">
        <f>IF(K$7&lt;=ActiveStage,IF(data!AC105,IF(data!M105&gt;0,INDEX(data!$E105:$H105,data!M105),""),"n/a"),"")</f>
        <v/>
      </c>
      <c r="L106" s="346" t="str">
        <f>IF(L$7&lt;=ActiveStage,IF(data!AD105,IF(data!N105&gt;0,INDEX(data!$E105:$H105,data!N105),""),"n/a"),"")</f>
        <v/>
      </c>
      <c r="M106" s="346" t="str">
        <f>IF(M$7&lt;=ActiveStage,IF(data!AE105,IF(data!O105&gt;0,INDEX(data!$E105:$H105,data!O105),""),"n/a"),"")</f>
        <v/>
      </c>
      <c r="N106" s="423" t="str">
        <f>IF(N$7&lt;=ActiveStage,IF(data!AF105,IF(data!P105&gt;0,INDEX(data!$E105:$H105,data!P105),""),"n/a"),"")</f>
        <v/>
      </c>
    </row>
    <row r="107" spans="3:14" ht="16" hidden="1" customHeight="1" x14ac:dyDescent="0.2">
      <c r="C107" s="352"/>
      <c r="D107" s="160" t="str">
        <f>data!C106</f>
        <v>E9</v>
      </c>
      <c r="E107" s="417">
        <f>data!D106</f>
        <v>0</v>
      </c>
      <c r="F107" s="17"/>
      <c r="G107" s="422" t="str">
        <f>IF(G$7&lt;=ActiveStage,IF(data!Y106,IF(data!I106&gt;0,INDEX(data!$E106:$H106,data!I106),""),"n/a"),"")</f>
        <v/>
      </c>
      <c r="H107" s="346" t="str">
        <f>IF(H$7&lt;=ActiveStage,IF(data!Z106,IF(data!J106&gt;0,INDEX(data!$E106:$H106,data!J106),""),"n/a"),"")</f>
        <v/>
      </c>
      <c r="I107" s="346" t="str">
        <f>IF(I$7&lt;=ActiveStage,IF(data!AA106,IF(data!K106&gt;0,INDEX(data!$E106:$H106,data!K106),""),"n/a"),"")</f>
        <v/>
      </c>
      <c r="J107" s="346" t="str">
        <f>IF(J$7&lt;=ActiveStage,IF(data!AB106,IF(data!L106&gt;0,INDEX(data!$E106:$H106,data!L106),""),"n/a"),"")</f>
        <v/>
      </c>
      <c r="K107" s="346" t="str">
        <f>IF(K$7&lt;=ActiveStage,IF(data!AC106,IF(data!M106&gt;0,INDEX(data!$E106:$H106,data!M106),""),"n/a"),"")</f>
        <v/>
      </c>
      <c r="L107" s="346" t="str">
        <f>IF(L$7&lt;=ActiveStage,IF(data!AD106,IF(data!N106&gt;0,INDEX(data!$E106:$H106,data!N106),""),"n/a"),"")</f>
        <v/>
      </c>
      <c r="M107" s="346" t="str">
        <f>IF(M$7&lt;=ActiveStage,IF(data!AE106,IF(data!O106&gt;0,INDEX(data!$E106:$H106,data!O106),""),"n/a"),"")</f>
        <v/>
      </c>
      <c r="N107" s="423" t="str">
        <f>IF(N$7&lt;=ActiveStage,IF(data!AF106,IF(data!P106&gt;0,INDEX(data!$E106:$H106,data!P106),""),"n/a"),"")</f>
        <v/>
      </c>
    </row>
    <row r="108" spans="3:14" ht="16" hidden="1" customHeight="1" x14ac:dyDescent="0.2">
      <c r="C108" s="352"/>
      <c r="D108" s="160" t="str">
        <f>data!C107</f>
        <v>E10</v>
      </c>
      <c r="E108" s="417">
        <f>data!D107</f>
        <v>0</v>
      </c>
      <c r="F108" s="17"/>
      <c r="G108" s="422" t="str">
        <f>IF(G$7&lt;=ActiveStage,IF(data!Y107,IF(data!I107&gt;0,INDEX(data!$E107:$H107,data!I107),""),"n/a"),"")</f>
        <v/>
      </c>
      <c r="H108" s="346" t="str">
        <f>IF(H$7&lt;=ActiveStage,IF(data!Z107,IF(data!J107&gt;0,INDEX(data!$E107:$H107,data!J107),""),"n/a"),"")</f>
        <v/>
      </c>
      <c r="I108" s="346" t="str">
        <f>IF(I$7&lt;=ActiveStage,IF(data!AA107,IF(data!K107&gt;0,INDEX(data!$E107:$H107,data!K107),""),"n/a"),"")</f>
        <v/>
      </c>
      <c r="J108" s="346" t="str">
        <f>IF(J$7&lt;=ActiveStage,IF(data!AB107,IF(data!L107&gt;0,INDEX(data!$E107:$H107,data!L107),""),"n/a"),"")</f>
        <v/>
      </c>
      <c r="K108" s="346" t="str">
        <f>IF(K$7&lt;=ActiveStage,IF(data!AC107,IF(data!M107&gt;0,INDEX(data!$E107:$H107,data!M107),""),"n/a"),"")</f>
        <v/>
      </c>
      <c r="L108" s="346" t="str">
        <f>IF(L$7&lt;=ActiveStage,IF(data!AD107,IF(data!N107&gt;0,INDEX(data!$E107:$H107,data!N107),""),"n/a"),"")</f>
        <v/>
      </c>
      <c r="M108" s="346" t="str">
        <f>IF(M$7&lt;=ActiveStage,IF(data!AE107,IF(data!O107&gt;0,INDEX(data!$E107:$H107,data!O107),""),"n/a"),"")</f>
        <v/>
      </c>
      <c r="N108" s="423" t="str">
        <f>IF(N$7&lt;=ActiveStage,IF(data!AF107,IF(data!P107&gt;0,INDEX(data!$E107:$H107,data!P107),""),"n/a"),"")</f>
        <v/>
      </c>
    </row>
    <row r="109" spans="3:14" ht="16" hidden="1" customHeight="1" x14ac:dyDescent="0.2">
      <c r="C109" s="352"/>
      <c r="D109" s="160" t="str">
        <f>data!C108</f>
        <v>E11</v>
      </c>
      <c r="E109" s="417">
        <f>data!D108</f>
        <v>0</v>
      </c>
      <c r="F109" s="17"/>
      <c r="G109" s="422" t="str">
        <f>IF(G$7&lt;=ActiveStage,IF(data!Y108,IF(data!I108&gt;0,INDEX(data!$E108:$H108,data!I108),""),"n/a"),"")</f>
        <v/>
      </c>
      <c r="H109" s="346" t="str">
        <f>IF(H$7&lt;=ActiveStage,IF(data!Z108,IF(data!J108&gt;0,INDEX(data!$E108:$H108,data!J108),""),"n/a"),"")</f>
        <v/>
      </c>
      <c r="I109" s="346" t="str">
        <f>IF(I$7&lt;=ActiveStage,IF(data!AA108,IF(data!K108&gt;0,INDEX(data!$E108:$H108,data!K108),""),"n/a"),"")</f>
        <v/>
      </c>
      <c r="J109" s="346" t="str">
        <f>IF(J$7&lt;=ActiveStage,IF(data!AB108,IF(data!L108&gt;0,INDEX(data!$E108:$H108,data!L108),""),"n/a"),"")</f>
        <v/>
      </c>
      <c r="K109" s="346" t="str">
        <f>IF(K$7&lt;=ActiveStage,IF(data!AC108,IF(data!M108&gt;0,INDEX(data!$E108:$H108,data!M108),""),"n/a"),"")</f>
        <v/>
      </c>
      <c r="L109" s="346" t="str">
        <f>IF(L$7&lt;=ActiveStage,IF(data!AD108,IF(data!N108&gt;0,INDEX(data!$E108:$H108,data!N108),""),"n/a"),"")</f>
        <v/>
      </c>
      <c r="M109" s="346" t="str">
        <f>IF(M$7&lt;=ActiveStage,IF(data!AE108,IF(data!O108&gt;0,INDEX(data!$E108:$H108,data!O108),""),"n/a"),"")</f>
        <v/>
      </c>
      <c r="N109" s="423" t="str">
        <f>IF(N$7&lt;=ActiveStage,IF(data!AF108,IF(data!P108&gt;0,INDEX(data!$E108:$H108,data!P108),""),"n/a"),"")</f>
        <v/>
      </c>
    </row>
    <row r="110" spans="3:14" ht="16" hidden="1" customHeight="1" x14ac:dyDescent="0.2">
      <c r="C110" s="352"/>
      <c r="D110" s="160" t="str">
        <f>data!C109</f>
        <v>E12</v>
      </c>
      <c r="E110" s="417">
        <f>data!D109</f>
        <v>0</v>
      </c>
      <c r="F110" s="17"/>
      <c r="G110" s="422" t="str">
        <f>IF(G$7&lt;=ActiveStage,IF(data!Y109,IF(data!I109&gt;0,INDEX(data!$E109:$H109,data!I109),""),"n/a"),"")</f>
        <v/>
      </c>
      <c r="H110" s="346" t="str">
        <f>IF(H$7&lt;=ActiveStage,IF(data!Z109,IF(data!J109&gt;0,INDEX(data!$E109:$H109,data!J109),""),"n/a"),"")</f>
        <v/>
      </c>
      <c r="I110" s="346" t="str">
        <f>IF(I$7&lt;=ActiveStage,IF(data!AA109,IF(data!K109&gt;0,INDEX(data!$E109:$H109,data!K109),""),"n/a"),"")</f>
        <v/>
      </c>
      <c r="J110" s="346" t="str">
        <f>IF(J$7&lt;=ActiveStage,IF(data!AB109,IF(data!L109&gt;0,INDEX(data!$E109:$H109,data!L109),""),"n/a"),"")</f>
        <v/>
      </c>
      <c r="K110" s="346" t="str">
        <f>IF(K$7&lt;=ActiveStage,IF(data!AC109,IF(data!M109&gt;0,INDEX(data!$E109:$H109,data!M109),""),"n/a"),"")</f>
        <v/>
      </c>
      <c r="L110" s="346" t="str">
        <f>IF(L$7&lt;=ActiveStage,IF(data!AD109,IF(data!N109&gt;0,INDEX(data!$E109:$H109,data!N109),""),"n/a"),"")</f>
        <v/>
      </c>
      <c r="M110" s="346" t="str">
        <f>IF(M$7&lt;=ActiveStage,IF(data!AE109,IF(data!O109&gt;0,INDEX(data!$E109:$H109,data!O109),""),"n/a"),"")</f>
        <v/>
      </c>
      <c r="N110" s="423" t="str">
        <f>IF(N$7&lt;=ActiveStage,IF(data!AF109,IF(data!P109&gt;0,INDEX(data!$E109:$H109,data!P109),""),"n/a"),"")</f>
        <v/>
      </c>
    </row>
    <row r="111" spans="3:14" ht="16" hidden="1" customHeight="1" x14ac:dyDescent="0.2">
      <c r="C111" s="352"/>
      <c r="D111" s="160" t="str">
        <f>data!C110</f>
        <v>E13</v>
      </c>
      <c r="E111" s="417">
        <f>data!D110</f>
        <v>0</v>
      </c>
      <c r="F111" s="17"/>
      <c r="G111" s="422" t="str">
        <f>IF(G$7&lt;=ActiveStage,IF(data!Y110,IF(data!I110&gt;0,INDEX(data!$E110:$H110,data!I110),""),"n/a"),"")</f>
        <v/>
      </c>
      <c r="H111" s="346" t="str">
        <f>IF(H$7&lt;=ActiveStage,IF(data!Z110,IF(data!J110&gt;0,INDEX(data!$E110:$H110,data!J110),""),"n/a"),"")</f>
        <v/>
      </c>
      <c r="I111" s="346" t="str">
        <f>IF(I$7&lt;=ActiveStage,IF(data!AA110,IF(data!K110&gt;0,INDEX(data!$E110:$H110,data!K110),""),"n/a"),"")</f>
        <v/>
      </c>
      <c r="J111" s="346" t="str">
        <f>IF(J$7&lt;=ActiveStage,IF(data!AB110,IF(data!L110&gt;0,INDEX(data!$E110:$H110,data!L110),""),"n/a"),"")</f>
        <v/>
      </c>
      <c r="K111" s="346" t="str">
        <f>IF(K$7&lt;=ActiveStage,IF(data!AC110,IF(data!M110&gt;0,INDEX(data!$E110:$H110,data!M110),""),"n/a"),"")</f>
        <v/>
      </c>
      <c r="L111" s="346" t="str">
        <f>IF(L$7&lt;=ActiveStage,IF(data!AD110,IF(data!N110&gt;0,INDEX(data!$E110:$H110,data!N110),""),"n/a"),"")</f>
        <v/>
      </c>
      <c r="M111" s="346" t="str">
        <f>IF(M$7&lt;=ActiveStage,IF(data!AE110,IF(data!O110&gt;0,INDEX(data!$E110:$H110,data!O110),""),"n/a"),"")</f>
        <v/>
      </c>
      <c r="N111" s="423" t="str">
        <f>IF(N$7&lt;=ActiveStage,IF(data!AF110,IF(data!P110&gt;0,INDEX(data!$E110:$H110,data!P110),""),"n/a"),"")</f>
        <v/>
      </c>
    </row>
    <row r="112" spans="3:14" ht="16" hidden="1" customHeight="1" x14ac:dyDescent="0.2">
      <c r="C112" s="352"/>
      <c r="D112" s="160" t="str">
        <f>data!C111</f>
        <v>E14</v>
      </c>
      <c r="E112" s="417">
        <f>data!D111</f>
        <v>0</v>
      </c>
      <c r="F112" s="17"/>
      <c r="G112" s="422" t="str">
        <f>IF(G$7&lt;=ActiveStage,IF(data!Y111,IF(data!I111&gt;0,INDEX(data!$E111:$H111,data!I111),""),"n/a"),"")</f>
        <v/>
      </c>
      <c r="H112" s="346" t="str">
        <f>IF(H$7&lt;=ActiveStage,IF(data!Z111,IF(data!J111&gt;0,INDEX(data!$E111:$H111,data!J111),""),"n/a"),"")</f>
        <v/>
      </c>
      <c r="I112" s="346" t="str">
        <f>IF(I$7&lt;=ActiveStage,IF(data!AA111,IF(data!K111&gt;0,INDEX(data!$E111:$H111,data!K111),""),"n/a"),"")</f>
        <v/>
      </c>
      <c r="J112" s="346" t="str">
        <f>IF(J$7&lt;=ActiveStage,IF(data!AB111,IF(data!L111&gt;0,INDEX(data!$E111:$H111,data!L111),""),"n/a"),"")</f>
        <v/>
      </c>
      <c r="K112" s="346" t="str">
        <f>IF(K$7&lt;=ActiveStage,IF(data!AC111,IF(data!M111&gt;0,INDEX(data!$E111:$H111,data!M111),""),"n/a"),"")</f>
        <v/>
      </c>
      <c r="L112" s="346" t="str">
        <f>IF(L$7&lt;=ActiveStage,IF(data!AD111,IF(data!N111&gt;0,INDEX(data!$E111:$H111,data!N111),""),"n/a"),"")</f>
        <v/>
      </c>
      <c r="M112" s="346" t="str">
        <f>IF(M$7&lt;=ActiveStage,IF(data!AE111,IF(data!O111&gt;0,INDEX(data!$E111:$H111,data!O111),""),"n/a"),"")</f>
        <v/>
      </c>
      <c r="N112" s="423" t="str">
        <f>IF(N$7&lt;=ActiveStage,IF(data!AF111,IF(data!P111&gt;0,INDEX(data!$E111:$H111,data!P111),""),"n/a"),"")</f>
        <v/>
      </c>
    </row>
    <row r="113" spans="3:14" ht="16" hidden="1" customHeight="1" x14ac:dyDescent="0.2">
      <c r="C113" s="352"/>
      <c r="D113" s="160" t="str">
        <f>data!C112</f>
        <v>E15</v>
      </c>
      <c r="E113" s="417">
        <f>data!D112</f>
        <v>0</v>
      </c>
      <c r="F113" s="17"/>
      <c r="G113" s="422" t="str">
        <f>IF(G$7&lt;=ActiveStage,IF(data!Y112,IF(data!I112&gt;0,INDEX(data!$E112:$H112,data!I112),""),"n/a"),"")</f>
        <v/>
      </c>
      <c r="H113" s="346" t="str">
        <f>IF(H$7&lt;=ActiveStage,IF(data!Z112,IF(data!J112&gt;0,INDEX(data!$E112:$H112,data!J112),""),"n/a"),"")</f>
        <v/>
      </c>
      <c r="I113" s="346" t="str">
        <f>IF(I$7&lt;=ActiveStage,IF(data!AA112,IF(data!K112&gt;0,INDEX(data!$E112:$H112,data!K112),""),"n/a"),"")</f>
        <v/>
      </c>
      <c r="J113" s="346" t="str">
        <f>IF(J$7&lt;=ActiveStage,IF(data!AB112,IF(data!L112&gt;0,INDEX(data!$E112:$H112,data!L112),""),"n/a"),"")</f>
        <v/>
      </c>
      <c r="K113" s="346" t="str">
        <f>IF(K$7&lt;=ActiveStage,IF(data!AC112,IF(data!M112&gt;0,INDEX(data!$E112:$H112,data!M112),""),"n/a"),"")</f>
        <v/>
      </c>
      <c r="L113" s="346" t="str">
        <f>IF(L$7&lt;=ActiveStage,IF(data!AD112,IF(data!N112&gt;0,INDEX(data!$E112:$H112,data!N112),""),"n/a"),"")</f>
        <v/>
      </c>
      <c r="M113" s="346" t="str">
        <f>IF(M$7&lt;=ActiveStage,IF(data!AE112,IF(data!O112&gt;0,INDEX(data!$E112:$H112,data!O112),""),"n/a"),"")</f>
        <v/>
      </c>
      <c r="N113" s="423" t="str">
        <f>IF(N$7&lt;=ActiveStage,IF(data!AF112,IF(data!P112&gt;0,INDEX(data!$E112:$H112,data!P112),""),"n/a"),"")</f>
        <v/>
      </c>
    </row>
    <row r="114" spans="3:14" ht="16" hidden="1" customHeight="1" x14ac:dyDescent="0.2">
      <c r="C114" s="352"/>
      <c r="D114" s="160" t="str">
        <f>data!C113</f>
        <v>E16</v>
      </c>
      <c r="E114" s="417">
        <f>data!D113</f>
        <v>0</v>
      </c>
      <c r="F114" s="17"/>
      <c r="G114" s="422" t="str">
        <f>IF(G$7&lt;=ActiveStage,IF(data!Y113,IF(data!I113&gt;0,INDEX(data!$E113:$H113,data!I113),""),"n/a"),"")</f>
        <v/>
      </c>
      <c r="H114" s="346" t="str">
        <f>IF(H$7&lt;=ActiveStage,IF(data!Z113,IF(data!J113&gt;0,INDEX(data!$E113:$H113,data!J113),""),"n/a"),"")</f>
        <v/>
      </c>
      <c r="I114" s="346" t="str">
        <f>IF(I$7&lt;=ActiveStage,IF(data!AA113,IF(data!K113&gt;0,INDEX(data!$E113:$H113,data!K113),""),"n/a"),"")</f>
        <v/>
      </c>
      <c r="J114" s="346" t="str">
        <f>IF(J$7&lt;=ActiveStage,IF(data!AB113,IF(data!L113&gt;0,INDEX(data!$E113:$H113,data!L113),""),"n/a"),"")</f>
        <v/>
      </c>
      <c r="K114" s="346" t="str">
        <f>IF(K$7&lt;=ActiveStage,IF(data!AC113,IF(data!M113&gt;0,INDEX(data!$E113:$H113,data!M113),""),"n/a"),"")</f>
        <v/>
      </c>
      <c r="L114" s="346" t="str">
        <f>IF(L$7&lt;=ActiveStage,IF(data!AD113,IF(data!N113&gt;0,INDEX(data!$E113:$H113,data!N113),""),"n/a"),"")</f>
        <v/>
      </c>
      <c r="M114" s="346" t="str">
        <f>IF(M$7&lt;=ActiveStage,IF(data!AE113,IF(data!O113&gt;0,INDEX(data!$E113:$H113,data!O113),""),"n/a"),"")</f>
        <v/>
      </c>
      <c r="N114" s="423" t="str">
        <f>IF(N$7&lt;=ActiveStage,IF(data!AF113,IF(data!P113&gt;0,INDEX(data!$E113:$H113,data!P113),""),"n/a"),"")</f>
        <v/>
      </c>
    </row>
    <row r="115" spans="3:14" ht="16" hidden="1" customHeight="1" x14ac:dyDescent="0.2">
      <c r="C115" s="352"/>
      <c r="D115" s="160" t="str">
        <f>data!C114</f>
        <v>E17</v>
      </c>
      <c r="E115" s="417">
        <f>data!D114</f>
        <v>0</v>
      </c>
      <c r="F115" s="17"/>
      <c r="G115" s="422" t="str">
        <f>IF(G$7&lt;=ActiveStage,IF(data!Y114,IF(data!I114&gt;0,INDEX(data!$E114:$H114,data!I114),""),"n/a"),"")</f>
        <v/>
      </c>
      <c r="H115" s="346" t="str">
        <f>IF(H$7&lt;=ActiveStage,IF(data!Z114,IF(data!J114&gt;0,INDEX(data!$E114:$H114,data!J114),""),"n/a"),"")</f>
        <v/>
      </c>
      <c r="I115" s="346" t="str">
        <f>IF(I$7&lt;=ActiveStage,IF(data!AA114,IF(data!K114&gt;0,INDEX(data!$E114:$H114,data!K114),""),"n/a"),"")</f>
        <v/>
      </c>
      <c r="J115" s="346" t="str">
        <f>IF(J$7&lt;=ActiveStage,IF(data!AB114,IF(data!L114&gt;0,INDEX(data!$E114:$H114,data!L114),""),"n/a"),"")</f>
        <v/>
      </c>
      <c r="K115" s="346" t="str">
        <f>IF(K$7&lt;=ActiveStage,IF(data!AC114,IF(data!M114&gt;0,INDEX(data!$E114:$H114,data!M114),""),"n/a"),"")</f>
        <v/>
      </c>
      <c r="L115" s="346" t="str">
        <f>IF(L$7&lt;=ActiveStage,IF(data!AD114,IF(data!N114&gt;0,INDEX(data!$E114:$H114,data!N114),""),"n/a"),"")</f>
        <v/>
      </c>
      <c r="M115" s="346" t="str">
        <f>IF(M$7&lt;=ActiveStage,IF(data!AE114,IF(data!O114&gt;0,INDEX(data!$E114:$H114,data!O114),""),"n/a"),"")</f>
        <v/>
      </c>
      <c r="N115" s="423" t="str">
        <f>IF(N$7&lt;=ActiveStage,IF(data!AF114,IF(data!P114&gt;0,INDEX(data!$E114:$H114,data!P114),""),"n/a"),"")</f>
        <v/>
      </c>
    </row>
    <row r="116" spans="3:14" ht="16" hidden="1" customHeight="1" x14ac:dyDescent="0.2">
      <c r="C116" s="352"/>
      <c r="D116" s="160" t="str">
        <f>data!C115</f>
        <v>E18</v>
      </c>
      <c r="E116" s="417">
        <f>data!D115</f>
        <v>0</v>
      </c>
      <c r="F116" s="17"/>
      <c r="G116" s="422" t="str">
        <f>IF(G$7&lt;=ActiveStage,IF(data!Y115,IF(data!I115&gt;0,INDEX(data!$E115:$H115,data!I115),""),"n/a"),"")</f>
        <v/>
      </c>
      <c r="H116" s="346" t="str">
        <f>IF(H$7&lt;=ActiveStage,IF(data!Z115,IF(data!J115&gt;0,INDEX(data!$E115:$H115,data!J115),""),"n/a"),"")</f>
        <v/>
      </c>
      <c r="I116" s="346" t="str">
        <f>IF(I$7&lt;=ActiveStage,IF(data!AA115,IF(data!K115&gt;0,INDEX(data!$E115:$H115,data!K115),""),"n/a"),"")</f>
        <v/>
      </c>
      <c r="J116" s="346" t="str">
        <f>IF(J$7&lt;=ActiveStage,IF(data!AB115,IF(data!L115&gt;0,INDEX(data!$E115:$H115,data!L115),""),"n/a"),"")</f>
        <v/>
      </c>
      <c r="K116" s="346" t="str">
        <f>IF(K$7&lt;=ActiveStage,IF(data!AC115,IF(data!M115&gt;0,INDEX(data!$E115:$H115,data!M115),""),"n/a"),"")</f>
        <v/>
      </c>
      <c r="L116" s="346" t="str">
        <f>IF(L$7&lt;=ActiveStage,IF(data!AD115,IF(data!N115&gt;0,INDEX(data!$E115:$H115,data!N115),""),"n/a"),"")</f>
        <v/>
      </c>
      <c r="M116" s="346" t="str">
        <f>IF(M$7&lt;=ActiveStage,IF(data!AE115,IF(data!O115&gt;0,INDEX(data!$E115:$H115,data!O115),""),"n/a"),"")</f>
        <v/>
      </c>
      <c r="N116" s="423" t="str">
        <f>IF(N$7&lt;=ActiveStage,IF(data!AF115,IF(data!P115&gt;0,INDEX(data!$E115:$H115,data!P115),""),"n/a"),"")</f>
        <v/>
      </c>
    </row>
    <row r="117" spans="3:14" ht="16" hidden="1" customHeight="1" x14ac:dyDescent="0.2">
      <c r="C117" s="352"/>
      <c r="D117" s="160" t="str">
        <f>data!C116</f>
        <v>E19</v>
      </c>
      <c r="E117" s="417">
        <f>data!D116</f>
        <v>0</v>
      </c>
      <c r="F117" s="17"/>
      <c r="G117" s="422" t="str">
        <f>IF(G$7&lt;=ActiveStage,IF(data!Y116,IF(data!I116&gt;0,INDEX(data!$E116:$H116,data!I116),""),"n/a"),"")</f>
        <v/>
      </c>
      <c r="H117" s="346" t="str">
        <f>IF(H$7&lt;=ActiveStage,IF(data!Z116,IF(data!J116&gt;0,INDEX(data!$E116:$H116,data!J116),""),"n/a"),"")</f>
        <v/>
      </c>
      <c r="I117" s="346" t="str">
        <f>IF(I$7&lt;=ActiveStage,IF(data!AA116,IF(data!K116&gt;0,INDEX(data!$E116:$H116,data!K116),""),"n/a"),"")</f>
        <v/>
      </c>
      <c r="J117" s="346" t="str">
        <f>IF(J$7&lt;=ActiveStage,IF(data!AB116,IF(data!L116&gt;0,INDEX(data!$E116:$H116,data!L116),""),"n/a"),"")</f>
        <v/>
      </c>
      <c r="K117" s="346" t="str">
        <f>IF(K$7&lt;=ActiveStage,IF(data!AC116,IF(data!M116&gt;0,INDEX(data!$E116:$H116,data!M116),""),"n/a"),"")</f>
        <v/>
      </c>
      <c r="L117" s="346" t="str">
        <f>IF(L$7&lt;=ActiveStage,IF(data!AD116,IF(data!N116&gt;0,INDEX(data!$E116:$H116,data!N116),""),"n/a"),"")</f>
        <v/>
      </c>
      <c r="M117" s="346" t="str">
        <f>IF(M$7&lt;=ActiveStage,IF(data!AE116,IF(data!O116&gt;0,INDEX(data!$E116:$H116,data!O116),""),"n/a"),"")</f>
        <v/>
      </c>
      <c r="N117" s="423" t="str">
        <f>IF(N$7&lt;=ActiveStage,IF(data!AF116,IF(data!P116&gt;0,INDEX(data!$E116:$H116,data!P116),""),"n/a"),"")</f>
        <v/>
      </c>
    </row>
    <row r="118" spans="3:14" ht="16" hidden="1" customHeight="1" x14ac:dyDescent="0.2">
      <c r="C118" s="352"/>
      <c r="D118" s="163" t="str">
        <f>data!C117</f>
        <v>E20</v>
      </c>
      <c r="E118" s="418">
        <f>data!D117</f>
        <v>0</v>
      </c>
      <c r="F118" s="17"/>
      <c r="G118" s="424" t="str">
        <f>IF(G$7&lt;=ActiveStage,IF(data!Y117,IF(data!I117&gt;0,INDEX(data!$E117:$H117,data!I117),""),"n/a"),"")</f>
        <v/>
      </c>
      <c r="H118" s="425" t="str">
        <f>IF(H$7&lt;=ActiveStage,IF(data!Z117,IF(data!J117&gt;0,INDEX(data!$E117:$H117,data!J117),""),"n/a"),"")</f>
        <v/>
      </c>
      <c r="I118" s="425" t="str">
        <f>IF(I$7&lt;=ActiveStage,IF(data!AA117,IF(data!K117&gt;0,INDEX(data!$E117:$H117,data!K117),""),"n/a"),"")</f>
        <v/>
      </c>
      <c r="J118" s="425" t="str">
        <f>IF(J$7&lt;=ActiveStage,IF(data!AB117,IF(data!L117&gt;0,INDEX(data!$E117:$H117,data!L117),""),"n/a"),"")</f>
        <v/>
      </c>
      <c r="K118" s="425" t="str">
        <f>IF(K$7&lt;=ActiveStage,IF(data!AC117,IF(data!M117&gt;0,INDEX(data!$E117:$H117,data!M117),""),"n/a"),"")</f>
        <v/>
      </c>
      <c r="L118" s="425" t="str">
        <f>IF(L$7&lt;=ActiveStage,IF(data!AD117,IF(data!N117&gt;0,INDEX(data!$E117:$H117,data!N117),""),"n/a"),"")</f>
        <v/>
      </c>
      <c r="M118" s="425" t="str">
        <f>IF(M$7&lt;=ActiveStage,IF(data!AE117,IF(data!O117&gt;0,INDEX(data!$E117:$H117,data!O117),""),"n/a"),"")</f>
        <v/>
      </c>
      <c r="N118" s="426" t="str">
        <f>IF(N$7&lt;=ActiveStage,IF(data!AF117,IF(data!P117&gt;0,INDEX(data!$E117:$H117,data!P117),""),"n/a"),"")</f>
        <v/>
      </c>
    </row>
    <row r="119" spans="3:14" ht="16" customHeight="1" x14ac:dyDescent="0.2">
      <c r="C119" s="17"/>
      <c r="D119" s="445"/>
      <c r="E119" s="446"/>
      <c r="F119" s="17"/>
      <c r="G119" s="366" t="str">
        <f>IF(G$7&lt;=ActiveStage,IF(data!Y118,IF(data!I118&gt;0,INDEX(data!$E118:$H118,data!I118),""),"n/a"),"")</f>
        <v/>
      </c>
      <c r="H119" s="366" t="str">
        <f>IF(H$7&lt;=ActiveStage,IF(data!Z118,IF(data!J118&gt;0,INDEX(data!$E118:$H118,data!J118),""),"n/a"),"")</f>
        <v/>
      </c>
      <c r="I119" s="366" t="str">
        <f>IF(I$7&lt;=ActiveStage,IF(data!AA118,IF(data!K118&gt;0,INDEX(data!$E118:$H118,data!K118),""),"n/a"),"")</f>
        <v/>
      </c>
      <c r="J119" s="366" t="str">
        <f>IF(J$7&lt;=ActiveStage,IF(data!AB118,IF(data!L118&gt;0,INDEX(data!$E118:$H118,data!L118),""),"n/a"),"")</f>
        <v/>
      </c>
      <c r="K119" s="366" t="str">
        <f>IF(K$7&lt;=ActiveStage,IF(data!AC118,IF(data!M118&gt;0,INDEX(data!$E118:$H118,data!M118),""),"n/a"),"")</f>
        <v/>
      </c>
      <c r="L119" s="366" t="str">
        <f>IF(L$7&lt;=ActiveStage,IF(data!AD118,IF(data!N118&gt;0,INDEX(data!$E118:$H118,data!N118),""),"n/a"),"")</f>
        <v/>
      </c>
      <c r="M119" s="366" t="str">
        <f>IF(M$7&lt;=ActiveStage,IF(data!AE118,IF(data!O118&gt;0,INDEX(data!$E118:$H118,data!O118),""),"n/a"),"")</f>
        <v/>
      </c>
      <c r="N119" s="366" t="str">
        <f>IF(N$7&lt;=ActiveStage,IF(data!AF118,IF(data!P118&gt;0,INDEX(data!$E118:$H118,data!P118),""),"n/a"),"")</f>
        <v/>
      </c>
    </row>
    <row r="120" spans="3:14" ht="16" hidden="1" customHeight="1" x14ac:dyDescent="0.2">
      <c r="C120" s="17"/>
      <c r="D120" s="97"/>
      <c r="E120" s="354"/>
      <c r="F120" s="17"/>
      <c r="G120" s="347" t="str">
        <f>IF(G$7&lt;=ActiveStage,IF(data!Y119,IF(data!I119&gt;0,INDEX(data!$E119:$H119,data!I119),""),"n/a"),"")</f>
        <v/>
      </c>
      <c r="H120" s="347" t="str">
        <f>IF(H$7&lt;=ActiveStage,IF(data!Z119,IF(data!J119&gt;0,INDEX(data!$E119:$H119,data!J119),""),"n/a"),"")</f>
        <v/>
      </c>
      <c r="I120" s="347" t="str">
        <f>IF(I$7&lt;=ActiveStage,IF(data!AA119,IF(data!K119&gt;0,INDEX(data!$E119:$H119,data!K119),""),"n/a"),"")</f>
        <v/>
      </c>
      <c r="J120" s="347" t="str">
        <f>IF(J$7&lt;=ActiveStage,IF(data!AB119,IF(data!L119&gt;0,INDEX(data!$E119:$H119,data!L119),""),"n/a"),"")</f>
        <v/>
      </c>
      <c r="K120" s="347" t="str">
        <f>IF(K$7&lt;=ActiveStage,IF(data!AC119,IF(data!M119&gt;0,INDEX(data!$E119:$H119,data!M119),""),"n/a"),"")</f>
        <v/>
      </c>
      <c r="L120" s="347" t="str">
        <f>IF(L$7&lt;=ActiveStage,IF(data!AD119,IF(data!N119&gt;0,INDEX(data!$E119:$H119,data!N119),""),"n/a"),"")</f>
        <v/>
      </c>
      <c r="M120" s="347" t="str">
        <f>IF(M$7&lt;=ActiveStage,IF(data!AE119,IF(data!O119&gt;0,INDEX(data!$E119:$H119,data!O119),""),"n/a"),"")</f>
        <v/>
      </c>
      <c r="N120" s="347" t="str">
        <f>IF(N$7&lt;=ActiveStage,IF(data!AF119,IF(data!P119&gt;0,INDEX(data!$E119:$H119,data!P119),""),"n/a"),"")</f>
        <v/>
      </c>
    </row>
    <row r="121" spans="3:14" ht="16" customHeight="1" x14ac:dyDescent="0.2">
      <c r="C121" s="534" t="str">
        <f>Stage!C124</f>
        <v>F</v>
      </c>
      <c r="D121" s="427" t="str">
        <f>data!C120</f>
        <v>F1</v>
      </c>
      <c r="E121" s="428" t="str">
        <f>data!D120</f>
        <v>Collaborative approach to risk-sharing across team</v>
      </c>
      <c r="F121" s="17"/>
      <c r="G121" s="433" t="str">
        <f>IF(G$7&lt;=ActiveStage,IF(data!Y120,IF(data!I120&gt;0,INDEX(data!$E120:$H120,data!I120),""),"n/a"),"")</f>
        <v/>
      </c>
      <c r="H121" s="434" t="str">
        <f>IF(H$7&lt;=ActiveStage,IF(data!Z120,IF(data!J120&gt;0,INDEX(data!$E120:$H120,data!J120),""),"n/a"),"")</f>
        <v/>
      </c>
      <c r="I121" s="434" t="str">
        <f>IF(I$7&lt;=ActiveStage,IF(data!AA120,IF(data!K120&gt;0,INDEX(data!$E120:$H120,data!K120),""),"n/a"),"")</f>
        <v/>
      </c>
      <c r="J121" s="434" t="str">
        <f>IF(J$7&lt;=ActiveStage,IF(data!AB120,IF(data!L120&gt;0,INDEX(data!$E120:$H120,data!L120),""),"n/a"),"")</f>
        <v/>
      </c>
      <c r="K121" s="434" t="str">
        <f>IF(K$7&lt;=ActiveStage,IF(data!AC120,IF(data!M120&gt;0,INDEX(data!$E120:$H120,data!M120),""),"n/a"),"")</f>
        <v/>
      </c>
      <c r="L121" s="434" t="str">
        <f>IF(L$7&lt;=ActiveStage,IF(data!AD120,IF(data!N120&gt;0,INDEX(data!$E120:$H120,data!N120),""),"n/a"),"")</f>
        <v/>
      </c>
      <c r="M121" s="434" t="str">
        <f>IF(M$7&lt;=ActiveStage,IF(data!AE120,IF(data!O120&gt;0,INDEX(data!$E120:$H120,data!O120),""),"n/a"),"")</f>
        <v/>
      </c>
      <c r="N121" s="435" t="str">
        <f>IF(N$7&lt;=ActiveStage,IF(data!AF120,IF(data!P120&gt;0,INDEX(data!$E120:$H120,data!P120),""),"n/a"),"")</f>
        <v/>
      </c>
    </row>
    <row r="122" spans="3:14" ht="16" customHeight="1" x14ac:dyDescent="0.2">
      <c r="C122" s="534"/>
      <c r="D122" s="429" t="str">
        <f>data!C121</f>
        <v>F2</v>
      </c>
      <c r="E122" s="430" t="str">
        <f>data!D121</f>
        <v>Design responsibility matrix coordinated between all parties</v>
      </c>
      <c r="F122" s="17"/>
      <c r="G122" s="436" t="str">
        <f>IF(G$7&lt;=ActiveStage,IF(data!Y121,IF(data!I121&gt;0,INDEX(data!$E121:$H121,data!I121),""),"n/a"),"")</f>
        <v/>
      </c>
      <c r="H122" s="346" t="str">
        <f>IF(H$7&lt;=ActiveStage,IF(data!Z121,IF(data!J121&gt;0,INDEX(data!$E121:$H121,data!J121),""),"n/a"),"")</f>
        <v/>
      </c>
      <c r="I122" s="346" t="str">
        <f>IF(I$7&lt;=ActiveStage,IF(data!AA121,IF(data!K121&gt;0,INDEX(data!$E121:$H121,data!K121),""),"n/a"),"")</f>
        <v/>
      </c>
      <c r="J122" s="346" t="str">
        <f>IF(J$7&lt;=ActiveStage,IF(data!AB121,IF(data!L121&gt;0,INDEX(data!$E121:$H121,data!L121),""),"n/a"),"")</f>
        <v/>
      </c>
      <c r="K122" s="346" t="str">
        <f>IF(K$7&lt;=ActiveStage,IF(data!AC121,IF(data!M121&gt;0,INDEX(data!$E121:$H121,data!M121),""),"n/a"),"")</f>
        <v/>
      </c>
      <c r="L122" s="346" t="str">
        <f>IF(L$7&lt;=ActiveStage,IF(data!AD121,IF(data!N121&gt;0,INDEX(data!$E121:$H121,data!N121),""),"n/a"),"")</f>
        <v/>
      </c>
      <c r="M122" s="346" t="str">
        <f>IF(M$7&lt;=ActiveStage,IF(data!AE121,IF(data!O121&gt;0,INDEX(data!$E121:$H121,data!O121),""),"n/a"),"")</f>
        <v/>
      </c>
      <c r="N122" s="437" t="str">
        <f>IF(N$7&lt;=ActiveStage,IF(data!AF121,IF(data!P121&gt;0,INDEX(data!$E121:$H121,data!P121),""),"n/a"),"")</f>
        <v/>
      </c>
    </row>
    <row r="123" spans="3:14" ht="16" customHeight="1" x14ac:dyDescent="0.2">
      <c r="C123" s="534"/>
      <c r="D123" s="429" t="str">
        <f>data!C122</f>
        <v>F3</v>
      </c>
      <c r="E123" s="430" t="str">
        <f>data!D122</f>
        <v>Open-book arrangements on costs and margins</v>
      </c>
      <c r="F123" s="17"/>
      <c r="G123" s="436" t="str">
        <f>IF(G$7&lt;=ActiveStage,IF(data!Y122,IF(data!I122&gt;0,INDEX(data!$E122:$H122,data!I122),""),"n/a"),"")</f>
        <v/>
      </c>
      <c r="H123" s="346" t="str">
        <f>IF(H$7&lt;=ActiveStage,IF(data!Z122,IF(data!J122&gt;0,INDEX(data!$E122:$H122,data!J122),""),"n/a"),"")</f>
        <v/>
      </c>
      <c r="I123" s="346" t="str">
        <f>IF(I$7&lt;=ActiveStage,IF(data!AA122,IF(data!K122&gt;0,INDEX(data!$E122:$H122,data!K122),""),"n/a"),"")</f>
        <v/>
      </c>
      <c r="J123" s="346" t="str">
        <f>IF(J$7&lt;=ActiveStage,IF(data!AB122,IF(data!L122&gt;0,INDEX(data!$E122:$H122,data!L122),""),"n/a"),"")</f>
        <v/>
      </c>
      <c r="K123" s="346" t="str">
        <f>IF(K$7&lt;=ActiveStage,IF(data!AC122,IF(data!M122&gt;0,INDEX(data!$E122:$H122,data!M122),""),"n/a"),"")</f>
        <v/>
      </c>
      <c r="L123" s="346" t="str">
        <f>IF(L$7&lt;=ActiveStage,IF(data!AD122,IF(data!N122&gt;0,INDEX(data!$E122:$H122,data!N122),""),"n/a"),"")</f>
        <v/>
      </c>
      <c r="M123" s="346" t="str">
        <f>IF(M$7&lt;=ActiveStage,IF(data!AE122,IF(data!O122&gt;0,INDEX(data!$E122:$H122,data!O122),""),"n/a"),"")</f>
        <v/>
      </c>
      <c r="N123" s="437" t="str">
        <f>IF(N$7&lt;=ActiveStage,IF(data!AF122,IF(data!P122&gt;0,INDEX(data!$E122:$H122,data!P122),""),"n/a"),"")</f>
        <v/>
      </c>
    </row>
    <row r="124" spans="3:14" ht="16" customHeight="1" x14ac:dyDescent="0.2">
      <c r="C124" s="533" t="str">
        <f>Stage!D124</f>
        <v>Attitude to 
Collaboration</v>
      </c>
      <c r="D124" s="429" t="str">
        <f>data!C123</f>
        <v>F4</v>
      </c>
      <c r="E124" s="430" t="str">
        <f>data!D123</f>
        <v>Transparent methodology for allocating costs between parties</v>
      </c>
      <c r="F124" s="17"/>
      <c r="G124" s="436" t="str">
        <f>IF(G$7&lt;=ActiveStage,IF(data!Y123,IF(data!I123&gt;0,INDEX(data!$E123:$H123,data!I123),""),"n/a"),"")</f>
        <v/>
      </c>
      <c r="H124" s="346" t="str">
        <f>IF(H$7&lt;=ActiveStage,IF(data!Z123,IF(data!J123&gt;0,INDEX(data!$E123:$H123,data!J123),""),"n/a"),"")</f>
        <v/>
      </c>
      <c r="I124" s="346" t="str">
        <f>IF(I$7&lt;=ActiveStage,IF(data!AA123,IF(data!K123&gt;0,INDEX(data!$E123:$H123,data!K123),""),"n/a"),"")</f>
        <v/>
      </c>
      <c r="J124" s="346" t="str">
        <f>IF(J$7&lt;=ActiveStage,IF(data!AB123,IF(data!L123&gt;0,INDEX(data!$E123:$H123,data!L123),""),"n/a"),"")</f>
        <v/>
      </c>
      <c r="K124" s="346" t="str">
        <f>IF(K$7&lt;=ActiveStage,IF(data!AC123,IF(data!M123&gt;0,INDEX(data!$E123:$H123,data!M123),""),"n/a"),"")</f>
        <v/>
      </c>
      <c r="L124" s="346" t="str">
        <f>IF(L$7&lt;=ActiveStage,IF(data!AD123,IF(data!N123&gt;0,INDEX(data!$E123:$H123,data!N123),""),"n/a"),"")</f>
        <v/>
      </c>
      <c r="M124" s="346" t="str">
        <f>IF(M$7&lt;=ActiveStage,IF(data!AE123,IF(data!O123&gt;0,INDEX(data!$E123:$H123,data!O123),""),"n/a"),"")</f>
        <v/>
      </c>
      <c r="N124" s="437" t="str">
        <f>IF(N$7&lt;=ActiveStage,IF(data!AF123,IF(data!P123&gt;0,INDEX(data!$E123:$H123,data!P123),""),"n/a"),"")</f>
        <v/>
      </c>
    </row>
    <row r="125" spans="3:14" ht="16" customHeight="1" x14ac:dyDescent="0.2">
      <c r="C125" s="533"/>
      <c r="D125" s="429" t="str">
        <f>data!C124</f>
        <v>F5</v>
      </c>
      <c r="E125" s="430" t="str">
        <f>data!D124</f>
        <v>Client shares responsibility for risks beyond contractor's control</v>
      </c>
      <c r="F125" s="17"/>
      <c r="G125" s="436" t="str">
        <f>IF(G$7&lt;=ActiveStage,IF(data!Y124,IF(data!I124&gt;0,INDEX(data!$E124:$H124,data!I124),""),"n/a"),"")</f>
        <v>n/a</v>
      </c>
      <c r="H125" s="346" t="str">
        <f>IF(H$7&lt;=ActiveStage,IF(data!Z124,IF(data!J124&gt;0,INDEX(data!$E124:$H124,data!J124),""),"n/a"),"")</f>
        <v/>
      </c>
      <c r="I125" s="346" t="str">
        <f>IF(I$7&lt;=ActiveStage,IF(data!AA124,IF(data!K124&gt;0,INDEX(data!$E124:$H124,data!K124),""),"n/a"),"")</f>
        <v/>
      </c>
      <c r="J125" s="346" t="str">
        <f>IF(J$7&lt;=ActiveStage,IF(data!AB124,IF(data!L124&gt;0,INDEX(data!$E124:$H124,data!L124),""),"n/a"),"")</f>
        <v/>
      </c>
      <c r="K125" s="346" t="str">
        <f>IF(K$7&lt;=ActiveStage,IF(data!AC124,IF(data!M124&gt;0,INDEX(data!$E124:$H124,data!M124),""),"n/a"),"")</f>
        <v/>
      </c>
      <c r="L125" s="346" t="str">
        <f>IF(L$7&lt;=ActiveStage,IF(data!AD124,IF(data!N124&gt;0,INDEX(data!$E124:$H124,data!N124),""),"n/a"),"")</f>
        <v/>
      </c>
      <c r="M125" s="346" t="str">
        <f>IF(M$7&lt;=ActiveStage,IF(data!AE124,IF(data!O124&gt;0,INDEX(data!$E124:$H124,data!O124),""),"n/a"),"")</f>
        <v/>
      </c>
      <c r="N125" s="437" t="str">
        <f>IF(N$7&lt;=ActiveStage,IF(data!AF124,IF(data!P124&gt;0,INDEX(data!$E124:$H124,data!P124),""),"n/a"),"")</f>
        <v/>
      </c>
    </row>
    <row r="126" spans="3:14" ht="16" customHeight="1" x14ac:dyDescent="0.2">
      <c r="C126" s="533"/>
      <c r="D126" s="429" t="str">
        <f>data!C125</f>
        <v>F6</v>
      </c>
      <c r="E126" s="430" t="str">
        <f>data!D125</f>
        <v>Coordinated contractual arrangements between trade contractors</v>
      </c>
      <c r="F126" s="17"/>
      <c r="G126" s="436" t="str">
        <f>IF(G$7&lt;=ActiveStage,IF(data!Y125,IF(data!I125&gt;0,INDEX(data!$E125:$H125,data!I125),""),"n/a"),"")</f>
        <v>n/a</v>
      </c>
      <c r="H126" s="346" t="str">
        <f>IF(H$7&lt;=ActiveStage,IF(data!Z125,IF(data!J125&gt;0,INDEX(data!$E125:$H125,data!J125),""),"n/a"),"")</f>
        <v/>
      </c>
      <c r="I126" s="346" t="str">
        <f>IF(I$7&lt;=ActiveStage,IF(data!AA125,IF(data!K125&gt;0,INDEX(data!$E125:$H125,data!K125),""),"n/a"),"")</f>
        <v/>
      </c>
      <c r="J126" s="346" t="str">
        <f>IF(J$7&lt;=ActiveStage,IF(data!AB125,IF(data!L125&gt;0,INDEX(data!$E125:$H125,data!L125),""),"n/a"),"")</f>
        <v/>
      </c>
      <c r="K126" s="346" t="str">
        <f>IF(K$7&lt;=ActiveStage,IF(data!AC125,IF(data!M125&gt;0,INDEX(data!$E125:$H125,data!M125),""),"n/a"),"")</f>
        <v/>
      </c>
      <c r="L126" s="346" t="str">
        <f>IF(L$7&lt;=ActiveStage,IF(data!AD125,IF(data!N125&gt;0,INDEX(data!$E125:$H125,data!N125),""),"n/a"),"")</f>
        <v/>
      </c>
      <c r="M126" s="346" t="str">
        <f>IF(M$7&lt;=ActiveStage,IF(data!AE125,IF(data!O125&gt;0,INDEX(data!$E125:$H125,data!O125),""),"n/a"),"")</f>
        <v/>
      </c>
      <c r="N126" s="437" t="str">
        <f>IF(N$7&lt;=ActiveStage,IF(data!AF125,IF(data!P125&gt;0,INDEX(data!$E125:$H125,data!P125),""),"n/a"),"")</f>
        <v/>
      </c>
    </row>
    <row r="127" spans="3:14" ht="16" customHeight="1" x14ac:dyDescent="0.2">
      <c r="C127" s="533"/>
      <c r="D127" s="429" t="str">
        <f>data!C126</f>
        <v>F7</v>
      </c>
      <c r="E127" s="430" t="str">
        <f>data!D126</f>
        <v>Partnering / alliancing contracts and integrated project insurance</v>
      </c>
      <c r="F127" s="17"/>
      <c r="G127" s="436" t="str">
        <f>IF(G$7&lt;=ActiveStage,IF(data!Y126,IF(data!I126&gt;0,INDEX(data!$E126:$H126,data!I126),""),"n/a"),"")</f>
        <v/>
      </c>
      <c r="H127" s="346" t="str">
        <f>IF(H$7&lt;=ActiveStage,IF(data!Z126,IF(data!J126&gt;0,INDEX(data!$E126:$H126,data!J126),""),"n/a"),"")</f>
        <v/>
      </c>
      <c r="I127" s="346" t="str">
        <f>IF(I$7&lt;=ActiveStage,IF(data!AA126,IF(data!K126&gt;0,INDEX(data!$E126:$H126,data!K126),""),"n/a"),"")</f>
        <v/>
      </c>
      <c r="J127" s="346" t="str">
        <f>IF(J$7&lt;=ActiveStage,IF(data!AB126,IF(data!L126&gt;0,INDEX(data!$E126:$H126,data!L126),""),"n/a"),"")</f>
        <v/>
      </c>
      <c r="K127" s="346" t="str">
        <f>IF(K$7&lt;=ActiveStage,IF(data!AC126,IF(data!M126&gt;0,INDEX(data!$E126:$H126,data!M126),""),"n/a"),"")</f>
        <v/>
      </c>
      <c r="L127" s="346" t="str">
        <f>IF(L$7&lt;=ActiveStage,IF(data!AD126,IF(data!N126&gt;0,INDEX(data!$E126:$H126,data!N126),""),"n/a"),"")</f>
        <v/>
      </c>
      <c r="M127" s="346" t="str">
        <f>IF(M$7&lt;=ActiveStage,IF(data!AE126,IF(data!O126&gt;0,INDEX(data!$E126:$H126,data!O126),""),"n/a"),"")</f>
        <v/>
      </c>
      <c r="N127" s="437" t="str">
        <f>IF(N$7&lt;=ActiveStage,IF(data!AF126,IF(data!P126&gt;0,INDEX(data!$E126:$H126,data!P126),""),"n/a"),"")</f>
        <v/>
      </c>
    </row>
    <row r="128" spans="3:14" ht="16" customHeight="1" x14ac:dyDescent="0.2">
      <c r="C128" s="533"/>
      <c r="D128" s="429" t="str">
        <f>data!C127</f>
        <v>F8</v>
      </c>
      <c r="E128" s="430" t="str">
        <f>data!D127</f>
        <v>Project team has experience of working collaboratively</v>
      </c>
      <c r="F128" s="17"/>
      <c r="G128" s="436" t="str">
        <f>IF(G$7&lt;=ActiveStage,IF(data!Y127,IF(data!I127&gt;0,INDEX(data!$E127:$H127,data!I127),""),"n/a"),"")</f>
        <v/>
      </c>
      <c r="H128" s="346" t="str">
        <f>IF(H$7&lt;=ActiveStage,IF(data!Z127,IF(data!J127&gt;0,INDEX(data!$E127:$H127,data!J127),""),"n/a"),"")</f>
        <v/>
      </c>
      <c r="I128" s="346" t="str">
        <f>IF(I$7&lt;=ActiveStage,IF(data!AA127,IF(data!K127&gt;0,INDEX(data!$E127:$H127,data!K127),""),"n/a"),"")</f>
        <v/>
      </c>
      <c r="J128" s="346" t="str">
        <f>IF(J$7&lt;=ActiveStage,IF(data!AB127,IF(data!L127&gt;0,INDEX(data!$E127:$H127,data!L127),""),"n/a"),"")</f>
        <v/>
      </c>
      <c r="K128" s="346" t="str">
        <f>IF(K$7&lt;=ActiveStage,IF(data!AC127,IF(data!M127&gt;0,INDEX(data!$E127:$H127,data!M127),""),"n/a"),"")</f>
        <v/>
      </c>
      <c r="L128" s="346" t="str">
        <f>IF(L$7&lt;=ActiveStage,IF(data!AD127,IF(data!N127&gt;0,INDEX(data!$E127:$H127,data!N127),""),"n/a"),"")</f>
        <v/>
      </c>
      <c r="M128" s="346" t="str">
        <f>IF(M$7&lt;=ActiveStage,IF(data!AE127,IF(data!O127&gt;0,INDEX(data!$E127:$H127,data!O127),""),"n/a"),"")</f>
        <v/>
      </c>
      <c r="N128" s="437" t="str">
        <f>IF(N$7&lt;=ActiveStage,IF(data!AF127,IF(data!P127&gt;0,INDEX(data!$E127:$H127,data!P127),""),"n/a"),"")</f>
        <v/>
      </c>
    </row>
    <row r="129" spans="3:14" ht="16" hidden="1" customHeight="1" x14ac:dyDescent="0.2">
      <c r="C129" s="353"/>
      <c r="D129" s="429" t="str">
        <f>data!C128</f>
        <v>F9</v>
      </c>
      <c r="E129" s="430">
        <f>data!D128</f>
        <v>0</v>
      </c>
      <c r="F129" s="17"/>
      <c r="G129" s="436" t="str">
        <f>IF(G$7&lt;=ActiveStage,IF(data!Y128,IF(data!I128&gt;0,INDEX(data!$E128:$H128,data!I128),""),"n/a"),"")</f>
        <v/>
      </c>
      <c r="H129" s="346" t="str">
        <f>IF(H$7&lt;=ActiveStage,IF(data!Z128,IF(data!J128&gt;0,INDEX(data!$E128:$H128,data!J128),""),"n/a"),"")</f>
        <v/>
      </c>
      <c r="I129" s="346" t="str">
        <f>IF(I$7&lt;=ActiveStage,IF(data!AA128,IF(data!K128&gt;0,INDEX(data!$E128:$H128,data!K128),""),"n/a"),"")</f>
        <v/>
      </c>
      <c r="J129" s="346" t="str">
        <f>IF(J$7&lt;=ActiveStage,IF(data!AB128,IF(data!L128&gt;0,INDEX(data!$E128:$H128,data!L128),""),"n/a"),"")</f>
        <v/>
      </c>
      <c r="K129" s="346" t="str">
        <f>IF(K$7&lt;=ActiveStage,IF(data!AC128,IF(data!M128&gt;0,INDEX(data!$E128:$H128,data!M128),""),"n/a"),"")</f>
        <v/>
      </c>
      <c r="L129" s="346" t="str">
        <f>IF(L$7&lt;=ActiveStage,IF(data!AD128,IF(data!N128&gt;0,INDEX(data!$E128:$H128,data!N128),""),"n/a"),"")</f>
        <v/>
      </c>
      <c r="M129" s="346" t="str">
        <f>IF(M$7&lt;=ActiveStage,IF(data!AE128,IF(data!O128&gt;0,INDEX(data!$E128:$H128,data!O128),""),"n/a"),"")</f>
        <v/>
      </c>
      <c r="N129" s="437" t="str">
        <f>IF(N$7&lt;=ActiveStage,IF(data!AF128,IF(data!P128&gt;0,INDEX(data!$E128:$H128,data!P128),""),"n/a"),"")</f>
        <v/>
      </c>
    </row>
    <row r="130" spans="3:14" ht="16" hidden="1" customHeight="1" x14ac:dyDescent="0.2">
      <c r="C130" s="353"/>
      <c r="D130" s="429" t="str">
        <f>data!C129</f>
        <v>F10</v>
      </c>
      <c r="E130" s="430">
        <f>data!D129</f>
        <v>0</v>
      </c>
      <c r="F130" s="17"/>
      <c r="G130" s="436" t="str">
        <f>IF(G$7&lt;=ActiveStage,IF(data!Y129,IF(data!I129&gt;0,INDEX(data!$E129:$H129,data!I129),""),"n/a"),"")</f>
        <v/>
      </c>
      <c r="H130" s="346" t="str">
        <f>IF(H$7&lt;=ActiveStage,IF(data!Z129,IF(data!J129&gt;0,INDEX(data!$E129:$H129,data!J129),""),"n/a"),"")</f>
        <v/>
      </c>
      <c r="I130" s="346" t="str">
        <f>IF(I$7&lt;=ActiveStage,IF(data!AA129,IF(data!K129&gt;0,INDEX(data!$E129:$H129,data!K129),""),"n/a"),"")</f>
        <v/>
      </c>
      <c r="J130" s="346" t="str">
        <f>IF(J$7&lt;=ActiveStage,IF(data!AB129,IF(data!L129&gt;0,INDEX(data!$E129:$H129,data!L129),""),"n/a"),"")</f>
        <v/>
      </c>
      <c r="K130" s="346" t="str">
        <f>IF(K$7&lt;=ActiveStage,IF(data!AC129,IF(data!M129&gt;0,INDEX(data!$E129:$H129,data!M129),""),"n/a"),"")</f>
        <v/>
      </c>
      <c r="L130" s="346" t="str">
        <f>IF(L$7&lt;=ActiveStage,IF(data!AD129,IF(data!N129&gt;0,INDEX(data!$E129:$H129,data!N129),""),"n/a"),"")</f>
        <v/>
      </c>
      <c r="M130" s="346" t="str">
        <f>IF(M$7&lt;=ActiveStage,IF(data!AE129,IF(data!O129&gt;0,INDEX(data!$E129:$H129,data!O129),""),"n/a"),"")</f>
        <v/>
      </c>
      <c r="N130" s="437" t="str">
        <f>IF(N$7&lt;=ActiveStage,IF(data!AF129,IF(data!P129&gt;0,INDEX(data!$E129:$H129,data!P129),""),"n/a"),"")</f>
        <v/>
      </c>
    </row>
    <row r="131" spans="3:14" ht="16" hidden="1" customHeight="1" x14ac:dyDescent="0.2">
      <c r="C131" s="353"/>
      <c r="D131" s="429" t="str">
        <f>data!C130</f>
        <v>F11</v>
      </c>
      <c r="E131" s="430">
        <f>data!D130</f>
        <v>0</v>
      </c>
      <c r="F131" s="17"/>
      <c r="G131" s="436" t="str">
        <f>IF(G$7&lt;=ActiveStage,IF(data!Y130,IF(data!I130&gt;0,INDEX(data!$E130:$H130,data!I130),""),"n/a"),"")</f>
        <v/>
      </c>
      <c r="H131" s="346" t="str">
        <f>IF(H$7&lt;=ActiveStage,IF(data!Z130,IF(data!J130&gt;0,INDEX(data!$E130:$H130,data!J130),""),"n/a"),"")</f>
        <v/>
      </c>
      <c r="I131" s="346" t="str">
        <f>IF(I$7&lt;=ActiveStage,IF(data!AA130,IF(data!K130&gt;0,INDEX(data!$E130:$H130,data!K130),""),"n/a"),"")</f>
        <v/>
      </c>
      <c r="J131" s="346" t="str">
        <f>IF(J$7&lt;=ActiveStage,IF(data!AB130,IF(data!L130&gt;0,INDEX(data!$E130:$H130,data!L130),""),"n/a"),"")</f>
        <v/>
      </c>
      <c r="K131" s="346" t="str">
        <f>IF(K$7&lt;=ActiveStage,IF(data!AC130,IF(data!M130&gt;0,INDEX(data!$E130:$H130,data!M130),""),"n/a"),"")</f>
        <v/>
      </c>
      <c r="L131" s="346" t="str">
        <f>IF(L$7&lt;=ActiveStage,IF(data!AD130,IF(data!N130&gt;0,INDEX(data!$E130:$H130,data!N130),""),"n/a"),"")</f>
        <v/>
      </c>
      <c r="M131" s="346" t="str">
        <f>IF(M$7&lt;=ActiveStage,IF(data!AE130,IF(data!O130&gt;0,INDEX(data!$E130:$H130,data!O130),""),"n/a"),"")</f>
        <v/>
      </c>
      <c r="N131" s="437" t="str">
        <f>IF(N$7&lt;=ActiveStage,IF(data!AF130,IF(data!P130&gt;0,INDEX(data!$E130:$H130,data!P130),""),"n/a"),"")</f>
        <v/>
      </c>
    </row>
    <row r="132" spans="3:14" ht="16" hidden="1" customHeight="1" x14ac:dyDescent="0.2">
      <c r="C132" s="353"/>
      <c r="D132" s="429" t="str">
        <f>data!C131</f>
        <v>F12</v>
      </c>
      <c r="E132" s="430">
        <f>data!D131</f>
        <v>0</v>
      </c>
      <c r="F132" s="17"/>
      <c r="G132" s="436" t="str">
        <f>IF(G$7&lt;=ActiveStage,IF(data!Y131,IF(data!I131&gt;0,INDEX(data!$E131:$H131,data!I131),""),"n/a"),"")</f>
        <v/>
      </c>
      <c r="H132" s="346" t="str">
        <f>IF(H$7&lt;=ActiveStage,IF(data!Z131,IF(data!J131&gt;0,INDEX(data!$E131:$H131,data!J131),""),"n/a"),"")</f>
        <v/>
      </c>
      <c r="I132" s="346" t="str">
        <f>IF(I$7&lt;=ActiveStage,IF(data!AA131,IF(data!K131&gt;0,INDEX(data!$E131:$H131,data!K131),""),"n/a"),"")</f>
        <v/>
      </c>
      <c r="J132" s="346" t="str">
        <f>IF(J$7&lt;=ActiveStage,IF(data!AB131,IF(data!L131&gt;0,INDEX(data!$E131:$H131,data!L131),""),"n/a"),"")</f>
        <v/>
      </c>
      <c r="K132" s="346" t="str">
        <f>IF(K$7&lt;=ActiveStage,IF(data!AC131,IF(data!M131&gt;0,INDEX(data!$E131:$H131,data!M131),""),"n/a"),"")</f>
        <v/>
      </c>
      <c r="L132" s="346" t="str">
        <f>IF(L$7&lt;=ActiveStage,IF(data!AD131,IF(data!N131&gt;0,INDEX(data!$E131:$H131,data!N131),""),"n/a"),"")</f>
        <v/>
      </c>
      <c r="M132" s="346" t="str">
        <f>IF(M$7&lt;=ActiveStage,IF(data!AE131,IF(data!O131&gt;0,INDEX(data!$E131:$H131,data!O131),""),"n/a"),"")</f>
        <v/>
      </c>
      <c r="N132" s="437" t="str">
        <f>IF(N$7&lt;=ActiveStage,IF(data!AF131,IF(data!P131&gt;0,INDEX(data!$E131:$H131,data!P131),""),"n/a"),"")</f>
        <v/>
      </c>
    </row>
    <row r="133" spans="3:14" ht="16" hidden="1" customHeight="1" x14ac:dyDescent="0.2">
      <c r="C133" s="353"/>
      <c r="D133" s="429" t="str">
        <f>data!C132</f>
        <v>F13</v>
      </c>
      <c r="E133" s="430">
        <f>data!D132</f>
        <v>0</v>
      </c>
      <c r="F133" s="17"/>
      <c r="G133" s="436" t="str">
        <f>IF(G$7&lt;=ActiveStage,IF(data!Y132,IF(data!I132&gt;0,INDEX(data!$E132:$H132,data!I132),""),"n/a"),"")</f>
        <v/>
      </c>
      <c r="H133" s="346" t="str">
        <f>IF(H$7&lt;=ActiveStage,IF(data!Z132,IF(data!J132&gt;0,INDEX(data!$E132:$H132,data!J132),""),"n/a"),"")</f>
        <v/>
      </c>
      <c r="I133" s="346" t="str">
        <f>IF(I$7&lt;=ActiveStage,IF(data!AA132,IF(data!K132&gt;0,INDEX(data!$E132:$H132,data!K132),""),"n/a"),"")</f>
        <v/>
      </c>
      <c r="J133" s="346" t="str">
        <f>IF(J$7&lt;=ActiveStage,IF(data!AB132,IF(data!L132&gt;0,INDEX(data!$E132:$H132,data!L132),""),"n/a"),"")</f>
        <v/>
      </c>
      <c r="K133" s="346" t="str">
        <f>IF(K$7&lt;=ActiveStage,IF(data!AC132,IF(data!M132&gt;0,INDEX(data!$E132:$H132,data!M132),""),"n/a"),"")</f>
        <v/>
      </c>
      <c r="L133" s="346" t="str">
        <f>IF(L$7&lt;=ActiveStage,IF(data!AD132,IF(data!N132&gt;0,INDEX(data!$E132:$H132,data!N132),""),"n/a"),"")</f>
        <v/>
      </c>
      <c r="M133" s="346" t="str">
        <f>IF(M$7&lt;=ActiveStage,IF(data!AE132,IF(data!O132&gt;0,INDEX(data!$E132:$H132,data!O132),""),"n/a"),"")</f>
        <v/>
      </c>
      <c r="N133" s="437" t="str">
        <f>IF(N$7&lt;=ActiveStage,IF(data!AF132,IF(data!P132&gt;0,INDEX(data!$E132:$H132,data!P132),""),"n/a"),"")</f>
        <v/>
      </c>
    </row>
    <row r="134" spans="3:14" ht="16" hidden="1" customHeight="1" x14ac:dyDescent="0.2">
      <c r="C134" s="353"/>
      <c r="D134" s="429" t="str">
        <f>data!C133</f>
        <v>F14</v>
      </c>
      <c r="E134" s="430">
        <f>data!D133</f>
        <v>0</v>
      </c>
      <c r="F134" s="17"/>
      <c r="G134" s="436" t="str">
        <f>IF(G$7&lt;=ActiveStage,IF(data!Y133,IF(data!I133&gt;0,INDEX(data!$E133:$H133,data!I133),""),"n/a"),"")</f>
        <v/>
      </c>
      <c r="H134" s="346" t="str">
        <f>IF(H$7&lt;=ActiveStage,IF(data!Z133,IF(data!J133&gt;0,INDEX(data!$E133:$H133,data!J133),""),"n/a"),"")</f>
        <v/>
      </c>
      <c r="I134" s="346" t="str">
        <f>IF(I$7&lt;=ActiveStage,IF(data!AA133,IF(data!K133&gt;0,INDEX(data!$E133:$H133,data!K133),""),"n/a"),"")</f>
        <v/>
      </c>
      <c r="J134" s="346" t="str">
        <f>IF(J$7&lt;=ActiveStage,IF(data!AB133,IF(data!L133&gt;0,INDEX(data!$E133:$H133,data!L133),""),"n/a"),"")</f>
        <v/>
      </c>
      <c r="K134" s="346" t="str">
        <f>IF(K$7&lt;=ActiveStage,IF(data!AC133,IF(data!M133&gt;0,INDEX(data!$E133:$H133,data!M133),""),"n/a"),"")</f>
        <v/>
      </c>
      <c r="L134" s="346" t="str">
        <f>IF(L$7&lt;=ActiveStage,IF(data!AD133,IF(data!N133&gt;0,INDEX(data!$E133:$H133,data!N133),""),"n/a"),"")</f>
        <v/>
      </c>
      <c r="M134" s="346" t="str">
        <f>IF(M$7&lt;=ActiveStage,IF(data!AE133,IF(data!O133&gt;0,INDEX(data!$E133:$H133,data!O133),""),"n/a"),"")</f>
        <v/>
      </c>
      <c r="N134" s="437" t="str">
        <f>IF(N$7&lt;=ActiveStage,IF(data!AF133,IF(data!P133&gt;0,INDEX(data!$E133:$H133,data!P133),""),"n/a"),"")</f>
        <v/>
      </c>
    </row>
    <row r="135" spans="3:14" ht="16" hidden="1" customHeight="1" x14ac:dyDescent="0.2">
      <c r="C135" s="353"/>
      <c r="D135" s="429" t="str">
        <f>data!C134</f>
        <v>F15</v>
      </c>
      <c r="E135" s="430">
        <f>data!D134</f>
        <v>0</v>
      </c>
      <c r="F135" s="17"/>
      <c r="G135" s="436" t="str">
        <f>IF(G$7&lt;=ActiveStage,IF(data!Y134,IF(data!I134&gt;0,INDEX(data!$E134:$H134,data!I134),""),"n/a"),"")</f>
        <v/>
      </c>
      <c r="H135" s="346" t="str">
        <f>IF(H$7&lt;=ActiveStage,IF(data!Z134,IF(data!J134&gt;0,INDEX(data!$E134:$H134,data!J134),""),"n/a"),"")</f>
        <v/>
      </c>
      <c r="I135" s="346" t="str">
        <f>IF(I$7&lt;=ActiveStage,IF(data!AA134,IF(data!K134&gt;0,INDEX(data!$E134:$H134,data!K134),""),"n/a"),"")</f>
        <v/>
      </c>
      <c r="J135" s="346" t="str">
        <f>IF(J$7&lt;=ActiveStage,IF(data!AB134,IF(data!L134&gt;0,INDEX(data!$E134:$H134,data!L134),""),"n/a"),"")</f>
        <v/>
      </c>
      <c r="K135" s="346" t="str">
        <f>IF(K$7&lt;=ActiveStage,IF(data!AC134,IF(data!M134&gt;0,INDEX(data!$E134:$H134,data!M134),""),"n/a"),"")</f>
        <v/>
      </c>
      <c r="L135" s="346" t="str">
        <f>IF(L$7&lt;=ActiveStage,IF(data!AD134,IF(data!N134&gt;0,INDEX(data!$E134:$H134,data!N134),""),"n/a"),"")</f>
        <v/>
      </c>
      <c r="M135" s="346" t="str">
        <f>IF(M$7&lt;=ActiveStage,IF(data!AE134,IF(data!O134&gt;0,INDEX(data!$E134:$H134,data!O134),""),"n/a"),"")</f>
        <v/>
      </c>
      <c r="N135" s="437" t="str">
        <f>IF(N$7&lt;=ActiveStage,IF(data!AF134,IF(data!P134&gt;0,INDEX(data!$E134:$H134,data!P134),""),"n/a"),"")</f>
        <v/>
      </c>
    </row>
    <row r="136" spans="3:14" ht="16" hidden="1" customHeight="1" x14ac:dyDescent="0.2">
      <c r="C136" s="353"/>
      <c r="D136" s="429" t="str">
        <f>data!C135</f>
        <v>F16</v>
      </c>
      <c r="E136" s="430">
        <f>data!D135</f>
        <v>0</v>
      </c>
      <c r="F136" s="17"/>
      <c r="G136" s="436" t="str">
        <f>IF(G$7&lt;=ActiveStage,IF(data!Y135,IF(data!I135&gt;0,INDEX(data!$E135:$H135,data!I135),""),"n/a"),"")</f>
        <v/>
      </c>
      <c r="H136" s="346" t="str">
        <f>IF(H$7&lt;=ActiveStage,IF(data!Z135,IF(data!J135&gt;0,INDEX(data!$E135:$H135,data!J135),""),"n/a"),"")</f>
        <v/>
      </c>
      <c r="I136" s="346" t="str">
        <f>IF(I$7&lt;=ActiveStage,IF(data!AA135,IF(data!K135&gt;0,INDEX(data!$E135:$H135,data!K135),""),"n/a"),"")</f>
        <v/>
      </c>
      <c r="J136" s="346" t="str">
        <f>IF(J$7&lt;=ActiveStage,IF(data!AB135,IF(data!L135&gt;0,INDEX(data!$E135:$H135,data!L135),""),"n/a"),"")</f>
        <v/>
      </c>
      <c r="K136" s="346" t="str">
        <f>IF(K$7&lt;=ActiveStage,IF(data!AC135,IF(data!M135&gt;0,INDEX(data!$E135:$H135,data!M135),""),"n/a"),"")</f>
        <v/>
      </c>
      <c r="L136" s="346" t="str">
        <f>IF(L$7&lt;=ActiveStage,IF(data!AD135,IF(data!N135&gt;0,INDEX(data!$E135:$H135,data!N135),""),"n/a"),"")</f>
        <v/>
      </c>
      <c r="M136" s="346" t="str">
        <f>IF(M$7&lt;=ActiveStage,IF(data!AE135,IF(data!O135&gt;0,INDEX(data!$E135:$H135,data!O135),""),"n/a"),"")</f>
        <v/>
      </c>
      <c r="N136" s="437" t="str">
        <f>IF(N$7&lt;=ActiveStage,IF(data!AF135,IF(data!P135&gt;0,INDEX(data!$E135:$H135,data!P135),""),"n/a"),"")</f>
        <v/>
      </c>
    </row>
    <row r="137" spans="3:14" ht="16" hidden="1" customHeight="1" x14ac:dyDescent="0.2">
      <c r="C137" s="353"/>
      <c r="D137" s="429" t="str">
        <f>data!C136</f>
        <v>F17</v>
      </c>
      <c r="E137" s="430">
        <f>data!D136</f>
        <v>0</v>
      </c>
      <c r="F137" s="17"/>
      <c r="G137" s="436" t="str">
        <f>IF(G$7&lt;=ActiveStage,IF(data!Y136,IF(data!I136&gt;0,INDEX(data!$E136:$H136,data!I136),""),"n/a"),"")</f>
        <v/>
      </c>
      <c r="H137" s="346" t="str">
        <f>IF(H$7&lt;=ActiveStage,IF(data!Z136,IF(data!J136&gt;0,INDEX(data!$E136:$H136,data!J136),""),"n/a"),"")</f>
        <v/>
      </c>
      <c r="I137" s="346" t="str">
        <f>IF(I$7&lt;=ActiveStage,IF(data!AA136,IF(data!K136&gt;0,INDEX(data!$E136:$H136,data!K136),""),"n/a"),"")</f>
        <v/>
      </c>
      <c r="J137" s="346" t="str">
        <f>IF(J$7&lt;=ActiveStage,IF(data!AB136,IF(data!L136&gt;0,INDEX(data!$E136:$H136,data!L136),""),"n/a"),"")</f>
        <v/>
      </c>
      <c r="K137" s="346" t="str">
        <f>IF(K$7&lt;=ActiveStage,IF(data!AC136,IF(data!M136&gt;0,INDEX(data!$E136:$H136,data!M136),""),"n/a"),"")</f>
        <v/>
      </c>
      <c r="L137" s="346" t="str">
        <f>IF(L$7&lt;=ActiveStage,IF(data!AD136,IF(data!N136&gt;0,INDEX(data!$E136:$H136,data!N136),""),"n/a"),"")</f>
        <v/>
      </c>
      <c r="M137" s="346" t="str">
        <f>IF(M$7&lt;=ActiveStage,IF(data!AE136,IF(data!O136&gt;0,INDEX(data!$E136:$H136,data!O136),""),"n/a"),"")</f>
        <v/>
      </c>
      <c r="N137" s="437" t="str">
        <f>IF(N$7&lt;=ActiveStage,IF(data!AF136,IF(data!P136&gt;0,INDEX(data!$E136:$H136,data!P136),""),"n/a"),"")</f>
        <v/>
      </c>
    </row>
    <row r="138" spans="3:14" ht="16" hidden="1" customHeight="1" x14ac:dyDescent="0.2">
      <c r="C138" s="353"/>
      <c r="D138" s="429" t="str">
        <f>data!C137</f>
        <v>F18</v>
      </c>
      <c r="E138" s="430">
        <f>data!D137</f>
        <v>0</v>
      </c>
      <c r="F138" s="17"/>
      <c r="G138" s="436" t="str">
        <f>IF(G$7&lt;=ActiveStage,IF(data!Y137,IF(data!I137&gt;0,INDEX(data!$E137:$H137,data!I137),""),"n/a"),"")</f>
        <v/>
      </c>
      <c r="H138" s="346" t="str">
        <f>IF(H$7&lt;=ActiveStage,IF(data!Z137,IF(data!J137&gt;0,INDEX(data!$E137:$H137,data!J137),""),"n/a"),"")</f>
        <v/>
      </c>
      <c r="I138" s="346" t="str">
        <f>IF(I$7&lt;=ActiveStage,IF(data!AA137,IF(data!K137&gt;0,INDEX(data!$E137:$H137,data!K137),""),"n/a"),"")</f>
        <v/>
      </c>
      <c r="J138" s="346" t="str">
        <f>IF(J$7&lt;=ActiveStage,IF(data!AB137,IF(data!L137&gt;0,INDEX(data!$E137:$H137,data!L137),""),"n/a"),"")</f>
        <v/>
      </c>
      <c r="K138" s="346" t="str">
        <f>IF(K$7&lt;=ActiveStage,IF(data!AC137,IF(data!M137&gt;0,INDEX(data!$E137:$H137,data!M137),""),"n/a"),"")</f>
        <v/>
      </c>
      <c r="L138" s="346" t="str">
        <f>IF(L$7&lt;=ActiveStage,IF(data!AD137,IF(data!N137&gt;0,INDEX(data!$E137:$H137,data!N137),""),"n/a"),"")</f>
        <v/>
      </c>
      <c r="M138" s="346" t="str">
        <f>IF(M$7&lt;=ActiveStage,IF(data!AE137,IF(data!O137&gt;0,INDEX(data!$E137:$H137,data!O137),""),"n/a"),"")</f>
        <v/>
      </c>
      <c r="N138" s="437" t="str">
        <f>IF(N$7&lt;=ActiveStage,IF(data!AF137,IF(data!P137&gt;0,INDEX(data!$E137:$H137,data!P137),""),"n/a"),"")</f>
        <v/>
      </c>
    </row>
    <row r="139" spans="3:14" ht="16" hidden="1" customHeight="1" x14ac:dyDescent="0.2">
      <c r="C139" s="353"/>
      <c r="D139" s="429" t="str">
        <f>data!C138</f>
        <v>F19</v>
      </c>
      <c r="E139" s="430">
        <f>data!D138</f>
        <v>0</v>
      </c>
      <c r="F139" s="17"/>
      <c r="G139" s="436" t="str">
        <f>IF(G$7&lt;=ActiveStage,IF(data!Y138,IF(data!I138&gt;0,INDEX(data!$E138:$H138,data!I138),""),"n/a"),"")</f>
        <v/>
      </c>
      <c r="H139" s="346" t="str">
        <f>IF(H$7&lt;=ActiveStage,IF(data!Z138,IF(data!J138&gt;0,INDEX(data!$E138:$H138,data!J138),""),"n/a"),"")</f>
        <v/>
      </c>
      <c r="I139" s="346" t="str">
        <f>IF(I$7&lt;=ActiveStage,IF(data!AA138,IF(data!K138&gt;0,INDEX(data!$E138:$H138,data!K138),""),"n/a"),"")</f>
        <v/>
      </c>
      <c r="J139" s="346" t="str">
        <f>IF(J$7&lt;=ActiveStage,IF(data!AB138,IF(data!L138&gt;0,INDEX(data!$E138:$H138,data!L138),""),"n/a"),"")</f>
        <v/>
      </c>
      <c r="K139" s="346" t="str">
        <f>IF(K$7&lt;=ActiveStage,IF(data!AC138,IF(data!M138&gt;0,INDEX(data!$E138:$H138,data!M138),""),"n/a"),"")</f>
        <v/>
      </c>
      <c r="L139" s="346" t="str">
        <f>IF(L$7&lt;=ActiveStage,IF(data!AD138,IF(data!N138&gt;0,INDEX(data!$E138:$H138,data!N138),""),"n/a"),"")</f>
        <v/>
      </c>
      <c r="M139" s="346" t="str">
        <f>IF(M$7&lt;=ActiveStage,IF(data!AE138,IF(data!O138&gt;0,INDEX(data!$E138:$H138,data!O138),""),"n/a"),"")</f>
        <v/>
      </c>
      <c r="N139" s="437" t="str">
        <f>IF(N$7&lt;=ActiveStage,IF(data!AF138,IF(data!P138&gt;0,INDEX(data!$E138:$H138,data!P138),""),"n/a"),"")</f>
        <v/>
      </c>
    </row>
    <row r="140" spans="3:14" ht="16" hidden="1" customHeight="1" x14ac:dyDescent="0.2">
      <c r="C140" s="353"/>
      <c r="D140" s="431" t="str">
        <f>data!C139</f>
        <v>F20</v>
      </c>
      <c r="E140" s="432">
        <f>data!D139</f>
        <v>0</v>
      </c>
      <c r="F140" s="17"/>
      <c r="G140" s="438" t="str">
        <f>IF(G$7&lt;=ActiveStage,IF(data!Y139,IF(data!I139&gt;0,INDEX(data!$E139:$H139,data!I139),""),"n/a"),"")</f>
        <v/>
      </c>
      <c r="H140" s="439" t="str">
        <f>IF(H$7&lt;=ActiveStage,IF(data!Z139,IF(data!J139&gt;0,INDEX(data!$E139:$H139,data!J139),""),"n/a"),"")</f>
        <v/>
      </c>
      <c r="I140" s="439" t="str">
        <f>IF(I$7&lt;=ActiveStage,IF(data!AA139,IF(data!K139&gt;0,INDEX(data!$E139:$H139,data!K139),""),"n/a"),"")</f>
        <v/>
      </c>
      <c r="J140" s="439" t="str">
        <f>IF(J$7&lt;=ActiveStage,IF(data!AB139,IF(data!L139&gt;0,INDEX(data!$E139:$H139,data!L139),""),"n/a"),"")</f>
        <v/>
      </c>
      <c r="K140" s="439" t="str">
        <f>IF(K$7&lt;=ActiveStage,IF(data!AC139,IF(data!M139&gt;0,INDEX(data!$E139:$H139,data!M139),""),"n/a"),"")</f>
        <v/>
      </c>
      <c r="L140" s="439" t="str">
        <f>IF(L$7&lt;=ActiveStage,IF(data!AD139,IF(data!N139&gt;0,INDEX(data!$E139:$H139,data!N139),""),"n/a"),"")</f>
        <v/>
      </c>
      <c r="M140" s="439" t="str">
        <f>IF(M$7&lt;=ActiveStage,IF(data!AE139,IF(data!O139&gt;0,INDEX(data!$E139:$H139,data!O139),""),"n/a"),"")</f>
        <v/>
      </c>
      <c r="N140" s="440" t="str">
        <f>IF(N$7&lt;=ActiveStage,IF(data!AF139,IF(data!P139&gt;0,INDEX(data!$E139:$H139,data!P139),""),"n/a"),"")</f>
        <v/>
      </c>
    </row>
    <row r="141" spans="3:14" ht="16" customHeight="1" x14ac:dyDescent="0.2">
      <c r="C141" s="17"/>
      <c r="D141" s="447"/>
      <c r="E141" s="448"/>
      <c r="F141" s="17"/>
      <c r="G141" s="367"/>
      <c r="H141" s="367"/>
      <c r="I141" s="367"/>
      <c r="J141" s="367"/>
      <c r="K141" s="367"/>
      <c r="L141" s="367"/>
      <c r="M141" s="367"/>
      <c r="N141" s="367"/>
    </row>
    <row r="142" spans="3:14" ht="16" customHeight="1" x14ac:dyDescent="0.2">
      <c r="C142" s="17"/>
      <c r="D142" s="377"/>
      <c r="E142" s="451"/>
      <c r="F142" s="17"/>
      <c r="G142" s="344"/>
      <c r="H142" s="344"/>
      <c r="I142" s="344"/>
      <c r="J142" s="344"/>
      <c r="K142" s="344"/>
      <c r="L142" s="344"/>
      <c r="M142" s="344"/>
      <c r="N142" s="344"/>
    </row>
    <row r="143" spans="3:14" ht="16" customHeight="1" x14ac:dyDescent="0.2">
      <c r="C143" s="17"/>
      <c r="D143" s="97"/>
      <c r="E143" s="354"/>
      <c r="F143" s="17"/>
      <c r="G143" s="17"/>
      <c r="H143" s="17"/>
      <c r="I143" s="17"/>
      <c r="J143" s="17"/>
      <c r="K143" s="17"/>
      <c r="L143" s="17"/>
      <c r="M143" s="17"/>
      <c r="N143" s="17"/>
    </row>
    <row r="144" spans="3:14" ht="16" customHeight="1" x14ac:dyDescent="0.2">
      <c r="C144" s="17"/>
      <c r="D144" s="97"/>
      <c r="E144" s="354"/>
      <c r="F144" s="17"/>
      <c r="G144" s="17"/>
      <c r="H144" s="17"/>
      <c r="I144" s="17"/>
      <c r="J144" s="17"/>
      <c r="K144" s="17"/>
      <c r="L144" s="17"/>
      <c r="M144" s="17"/>
      <c r="N144" s="17"/>
    </row>
    <row r="145" spans="3:14" ht="16" customHeight="1" x14ac:dyDescent="0.2">
      <c r="C145" s="17"/>
      <c r="D145" s="97"/>
      <c r="E145" s="354"/>
      <c r="F145" s="17"/>
      <c r="G145" s="17"/>
      <c r="H145" s="17"/>
      <c r="I145" s="17"/>
      <c r="J145" s="17"/>
      <c r="K145" s="17"/>
      <c r="L145" s="17"/>
      <c r="M145" s="17"/>
      <c r="N145" s="17"/>
    </row>
    <row r="146" spans="3:14" ht="16" customHeight="1" x14ac:dyDescent="0.2">
      <c r="C146" s="17"/>
      <c r="D146" s="97"/>
      <c r="E146" s="354"/>
      <c r="F146" s="17"/>
      <c r="G146" s="17"/>
      <c r="H146" s="17"/>
      <c r="I146" s="17"/>
      <c r="J146" s="17"/>
      <c r="K146" s="17"/>
      <c r="L146" s="17"/>
      <c r="M146" s="17"/>
      <c r="N146" s="17"/>
    </row>
    <row r="147" spans="3:14" ht="16" customHeight="1" x14ac:dyDescent="0.2">
      <c r="C147" s="17"/>
      <c r="D147" s="97"/>
      <c r="E147" s="354"/>
      <c r="F147" s="17"/>
      <c r="G147" s="17"/>
      <c r="H147" s="17"/>
      <c r="I147" s="17"/>
      <c r="J147" s="17"/>
      <c r="K147" s="17"/>
      <c r="L147" s="17"/>
      <c r="M147" s="17"/>
      <c r="N147" s="17"/>
    </row>
    <row r="148" spans="3:14" ht="16" customHeight="1" x14ac:dyDescent="0.2">
      <c r="C148" s="17"/>
      <c r="D148" s="97"/>
      <c r="E148" s="354"/>
      <c r="F148" s="17"/>
      <c r="G148" s="17"/>
      <c r="H148" s="17"/>
      <c r="I148" s="17"/>
      <c r="J148" s="17"/>
      <c r="K148" s="17"/>
      <c r="L148" s="17"/>
      <c r="M148" s="17"/>
      <c r="N148" s="17"/>
    </row>
    <row r="149" spans="3:14" ht="16" customHeight="1" x14ac:dyDescent="0.2">
      <c r="C149" s="17"/>
      <c r="D149" s="97"/>
      <c r="E149" s="354"/>
      <c r="F149" s="17"/>
      <c r="G149" s="17"/>
      <c r="H149" s="17"/>
      <c r="I149" s="17"/>
      <c r="J149" s="17"/>
      <c r="K149" s="17"/>
      <c r="L149" s="17"/>
      <c r="M149" s="17"/>
      <c r="N149" s="17"/>
    </row>
    <row r="150" spans="3:14" ht="16" customHeight="1" x14ac:dyDescent="0.2">
      <c r="C150" s="17"/>
      <c r="D150" s="97"/>
      <c r="E150" s="354"/>
      <c r="F150" s="17"/>
      <c r="G150" s="17"/>
      <c r="H150" s="17"/>
      <c r="I150" s="17"/>
      <c r="J150" s="17"/>
      <c r="K150" s="17"/>
      <c r="L150" s="17"/>
      <c r="M150" s="17"/>
      <c r="N150" s="17"/>
    </row>
    <row r="151" spans="3:14" ht="16" customHeight="1" x14ac:dyDescent="0.2">
      <c r="C151" s="17"/>
      <c r="D151" s="97"/>
      <c r="E151" s="354"/>
      <c r="F151" s="17"/>
      <c r="G151" s="17"/>
      <c r="H151" s="17"/>
      <c r="I151" s="17"/>
      <c r="J151" s="17"/>
      <c r="K151" s="17"/>
      <c r="L151" s="17"/>
      <c r="M151" s="17"/>
      <c r="N151" s="17"/>
    </row>
    <row r="152" spans="3:14" ht="16" customHeight="1" x14ac:dyDescent="0.2">
      <c r="C152" s="17"/>
      <c r="D152" s="97"/>
      <c r="E152" s="354"/>
      <c r="F152" s="17"/>
      <c r="G152" s="17"/>
      <c r="H152" s="17"/>
      <c r="I152" s="17"/>
      <c r="J152" s="17"/>
      <c r="K152" s="17"/>
      <c r="L152" s="17"/>
      <c r="M152" s="17"/>
      <c r="N152" s="17"/>
    </row>
    <row r="153" spans="3:14" ht="16" customHeight="1" x14ac:dyDescent="0.2">
      <c r="C153" s="17"/>
      <c r="D153" s="97"/>
      <c r="E153" s="354"/>
      <c r="F153" s="17"/>
      <c r="G153" s="17"/>
      <c r="H153" s="17"/>
      <c r="I153" s="17"/>
      <c r="J153" s="17"/>
      <c r="K153" s="17"/>
      <c r="L153" s="17"/>
      <c r="M153" s="17"/>
      <c r="N153" s="17"/>
    </row>
    <row r="154" spans="3:14" ht="16" customHeight="1" x14ac:dyDescent="0.2">
      <c r="C154" s="17"/>
      <c r="D154" s="97"/>
      <c r="E154" s="354"/>
      <c r="F154" s="17"/>
      <c r="G154" s="17"/>
      <c r="H154" s="17"/>
      <c r="I154" s="17"/>
      <c r="J154" s="17"/>
      <c r="K154" s="17"/>
      <c r="L154" s="17"/>
      <c r="M154" s="17"/>
      <c r="N154" s="17"/>
    </row>
    <row r="155" spans="3:14" ht="16" customHeight="1" x14ac:dyDescent="0.2">
      <c r="C155" s="17"/>
      <c r="D155" s="97"/>
      <c r="E155" s="354"/>
      <c r="F155" s="17"/>
      <c r="G155" s="17"/>
      <c r="H155" s="17"/>
      <c r="I155" s="17"/>
      <c r="J155" s="17"/>
      <c r="K155" s="17"/>
      <c r="L155" s="17"/>
      <c r="M155" s="17"/>
      <c r="N155" s="17"/>
    </row>
    <row r="156" spans="3:14" ht="16" customHeight="1" x14ac:dyDescent="0.2">
      <c r="C156" s="17"/>
      <c r="D156" s="97"/>
      <c r="E156" s="354"/>
      <c r="F156" s="17"/>
      <c r="G156" s="17"/>
      <c r="H156" s="17"/>
      <c r="I156" s="17"/>
      <c r="J156" s="17"/>
      <c r="K156" s="17"/>
      <c r="L156" s="17"/>
      <c r="M156" s="17"/>
      <c r="N156" s="17"/>
    </row>
    <row r="157" spans="3:14" ht="16" customHeight="1" x14ac:dyDescent="0.2">
      <c r="C157" s="17"/>
      <c r="D157" s="97"/>
      <c r="E157" s="354"/>
      <c r="F157" s="17"/>
      <c r="G157" s="17"/>
      <c r="H157" s="17"/>
      <c r="I157" s="17"/>
      <c r="J157" s="17"/>
      <c r="K157" s="17"/>
      <c r="L157" s="17"/>
      <c r="M157" s="17"/>
      <c r="N157" s="17"/>
    </row>
    <row r="158" spans="3:14" ht="16" customHeight="1" x14ac:dyDescent="0.2">
      <c r="C158" s="17"/>
      <c r="D158" s="97"/>
      <c r="E158" s="354"/>
      <c r="F158" s="17"/>
      <c r="G158" s="17"/>
      <c r="H158" s="17"/>
      <c r="I158" s="17"/>
      <c r="J158" s="17"/>
      <c r="K158" s="17"/>
      <c r="L158" s="17"/>
      <c r="M158" s="17"/>
      <c r="N158" s="17"/>
    </row>
    <row r="159" spans="3:14" ht="16" customHeight="1" x14ac:dyDescent="0.2">
      <c r="C159" s="17"/>
      <c r="D159" s="97"/>
      <c r="E159" s="354"/>
      <c r="F159" s="17"/>
      <c r="G159" s="17"/>
      <c r="H159" s="17"/>
      <c r="I159" s="17"/>
      <c r="J159" s="17"/>
      <c r="K159" s="17"/>
      <c r="L159" s="17"/>
      <c r="M159" s="17"/>
      <c r="N159" s="17"/>
    </row>
    <row r="160" spans="3:14" ht="16" customHeight="1" x14ac:dyDescent="0.2">
      <c r="C160" s="17"/>
      <c r="D160" s="97"/>
      <c r="E160" s="354"/>
      <c r="F160" s="17"/>
      <c r="G160" s="17"/>
      <c r="H160" s="17"/>
      <c r="I160" s="17"/>
      <c r="J160" s="17"/>
      <c r="K160" s="17"/>
      <c r="L160" s="17"/>
      <c r="M160" s="17"/>
      <c r="N160" s="17"/>
    </row>
    <row r="161" spans="3:14" ht="16" customHeight="1" x14ac:dyDescent="0.2">
      <c r="C161" s="17"/>
      <c r="D161" s="97"/>
      <c r="E161" s="354"/>
      <c r="F161" s="17"/>
      <c r="G161" s="17"/>
      <c r="H161" s="17"/>
      <c r="I161" s="17"/>
      <c r="J161" s="17"/>
      <c r="K161" s="17"/>
      <c r="L161" s="17"/>
      <c r="M161" s="17"/>
      <c r="N161" s="17"/>
    </row>
    <row r="162" spans="3:14" ht="16" customHeight="1" x14ac:dyDescent="0.2">
      <c r="C162" s="17"/>
      <c r="D162" s="97"/>
      <c r="E162" s="354"/>
      <c r="F162" s="17"/>
      <c r="G162" s="17"/>
      <c r="H162" s="17"/>
      <c r="I162" s="17"/>
      <c r="J162" s="17"/>
      <c r="K162" s="17"/>
      <c r="L162" s="17"/>
      <c r="M162" s="17"/>
      <c r="N162" s="17"/>
    </row>
    <row r="163" spans="3:14" ht="16" customHeight="1" x14ac:dyDescent="0.2">
      <c r="C163" s="17"/>
      <c r="D163" s="97"/>
      <c r="E163" s="354"/>
      <c r="F163" s="17"/>
      <c r="G163" s="17"/>
      <c r="H163" s="17"/>
      <c r="I163" s="17"/>
      <c r="J163" s="17"/>
      <c r="K163" s="17"/>
      <c r="L163" s="17"/>
      <c r="M163" s="17"/>
      <c r="N163" s="17"/>
    </row>
    <row r="164" spans="3:14" ht="16" customHeight="1" x14ac:dyDescent="0.2">
      <c r="C164" s="17"/>
      <c r="D164" s="97"/>
      <c r="E164" s="354"/>
      <c r="F164" s="17"/>
      <c r="G164" s="17"/>
      <c r="H164" s="17"/>
      <c r="I164" s="17"/>
      <c r="J164" s="17"/>
      <c r="K164" s="17"/>
      <c r="L164" s="17"/>
      <c r="M164" s="17"/>
      <c r="N164" s="17"/>
    </row>
    <row r="165" spans="3:14" ht="16" customHeight="1" x14ac:dyDescent="0.2">
      <c r="C165" s="17"/>
      <c r="D165" s="97"/>
      <c r="E165" s="343"/>
      <c r="F165" s="17"/>
      <c r="G165" s="17"/>
      <c r="H165" s="17"/>
      <c r="I165" s="17"/>
      <c r="J165" s="17"/>
      <c r="K165" s="17"/>
      <c r="L165" s="17"/>
      <c r="M165" s="17"/>
      <c r="N165" s="17"/>
    </row>
    <row r="166" spans="3:14" ht="16" customHeight="1" x14ac:dyDescent="0.2">
      <c r="C166" s="17"/>
      <c r="D166" s="97"/>
      <c r="E166" s="343"/>
      <c r="F166" s="17"/>
      <c r="G166" s="17"/>
      <c r="H166" s="17"/>
      <c r="I166" s="17"/>
      <c r="J166" s="17"/>
      <c r="K166" s="17"/>
      <c r="L166" s="17"/>
      <c r="M166" s="17"/>
      <c r="N166" s="17"/>
    </row>
    <row r="167" spans="3:14" ht="16" customHeight="1" x14ac:dyDescent="0.2">
      <c r="C167" s="17"/>
      <c r="D167" s="97"/>
      <c r="E167" s="343"/>
      <c r="F167" s="17"/>
      <c r="G167" s="17"/>
      <c r="H167" s="17"/>
      <c r="I167" s="17"/>
      <c r="J167" s="17"/>
      <c r="K167" s="17"/>
      <c r="L167" s="17"/>
      <c r="M167" s="17"/>
      <c r="N167" s="17"/>
    </row>
    <row r="168" spans="3:14" ht="16" customHeight="1" x14ac:dyDescent="0.2">
      <c r="C168" s="17"/>
      <c r="D168" s="97"/>
      <c r="E168" s="343"/>
      <c r="F168" s="17"/>
      <c r="G168" s="17"/>
      <c r="H168" s="17"/>
      <c r="I168" s="17"/>
      <c r="J168" s="17"/>
      <c r="K168" s="17"/>
      <c r="L168" s="17"/>
      <c r="M168" s="17"/>
      <c r="N168" s="17"/>
    </row>
    <row r="169" spans="3:14" ht="16" customHeight="1" x14ac:dyDescent="0.2">
      <c r="C169" s="17"/>
      <c r="D169" s="97"/>
      <c r="E169" s="343"/>
      <c r="F169" s="17"/>
      <c r="G169" s="17"/>
      <c r="H169" s="17"/>
      <c r="I169" s="17"/>
      <c r="J169" s="17"/>
      <c r="K169" s="17"/>
      <c r="L169" s="17"/>
      <c r="M169" s="17"/>
      <c r="N169" s="17"/>
    </row>
    <row r="170" spans="3:14" ht="16" customHeight="1" x14ac:dyDescent="0.2">
      <c r="C170" s="17"/>
      <c r="D170" s="97"/>
      <c r="E170" s="343"/>
      <c r="F170" s="17"/>
      <c r="G170" s="17"/>
      <c r="H170" s="17"/>
      <c r="I170" s="17"/>
      <c r="J170" s="17"/>
      <c r="K170" s="17"/>
      <c r="L170" s="17"/>
      <c r="M170" s="17"/>
      <c r="N170" s="17"/>
    </row>
    <row r="171" spans="3:14" ht="16" customHeight="1" x14ac:dyDescent="0.2">
      <c r="C171" s="17"/>
      <c r="D171" s="97"/>
      <c r="E171" s="343"/>
      <c r="F171" s="17"/>
      <c r="G171" s="17"/>
      <c r="H171" s="17"/>
      <c r="I171" s="17"/>
      <c r="J171" s="17"/>
      <c r="K171" s="17"/>
      <c r="L171" s="17"/>
      <c r="M171" s="17"/>
      <c r="N171" s="17"/>
    </row>
    <row r="172" spans="3:14" ht="16" customHeight="1" x14ac:dyDescent="0.2">
      <c r="C172" s="17"/>
      <c r="D172" s="97"/>
      <c r="E172" s="343"/>
      <c r="F172" s="17"/>
      <c r="G172" s="17"/>
      <c r="H172" s="17"/>
      <c r="I172" s="17"/>
      <c r="J172" s="17"/>
      <c r="K172" s="17"/>
      <c r="L172" s="17"/>
      <c r="M172" s="17"/>
      <c r="N172" s="17"/>
    </row>
    <row r="173" spans="3:14" ht="16" customHeight="1" x14ac:dyDescent="0.2">
      <c r="C173" s="17"/>
      <c r="D173" s="97"/>
      <c r="E173" s="343"/>
      <c r="F173" s="17"/>
      <c r="G173" s="17"/>
      <c r="H173" s="17"/>
      <c r="I173" s="17"/>
      <c r="J173" s="17"/>
      <c r="K173" s="17"/>
      <c r="L173" s="17"/>
      <c r="M173" s="17"/>
      <c r="N173" s="17"/>
    </row>
    <row r="174" spans="3:14" ht="16" customHeight="1" x14ac:dyDescent="0.2">
      <c r="C174" s="17"/>
      <c r="D174" s="97"/>
      <c r="E174" s="343"/>
      <c r="F174" s="17"/>
      <c r="G174" s="17"/>
      <c r="H174" s="17"/>
      <c r="I174" s="17"/>
      <c r="J174" s="17"/>
      <c r="K174" s="17"/>
      <c r="L174" s="17"/>
      <c r="M174" s="17"/>
      <c r="N174" s="17"/>
    </row>
    <row r="175" spans="3:14" ht="16" customHeight="1" x14ac:dyDescent="0.2">
      <c r="C175" s="17"/>
      <c r="D175" s="97"/>
      <c r="E175" s="343"/>
      <c r="F175" s="17"/>
      <c r="G175" s="17"/>
      <c r="H175" s="17"/>
      <c r="I175" s="17"/>
      <c r="J175" s="17"/>
      <c r="K175" s="17"/>
      <c r="L175" s="17"/>
      <c r="M175" s="17"/>
      <c r="N175" s="17"/>
    </row>
    <row r="176" spans="3:14" ht="16" customHeight="1" x14ac:dyDescent="0.2">
      <c r="C176" s="17"/>
      <c r="D176" s="97"/>
      <c r="E176" s="343"/>
      <c r="F176" s="17"/>
      <c r="G176" s="17"/>
      <c r="H176" s="17"/>
      <c r="I176" s="17"/>
      <c r="J176" s="17"/>
      <c r="K176" s="17"/>
      <c r="L176" s="17"/>
      <c r="M176" s="17"/>
      <c r="N176" s="17"/>
    </row>
    <row r="177" spans="3:14" ht="16" customHeight="1" x14ac:dyDescent="0.2">
      <c r="C177" s="17"/>
      <c r="D177" s="97"/>
      <c r="E177" s="343"/>
      <c r="F177" s="17"/>
      <c r="G177" s="17"/>
      <c r="H177" s="17"/>
      <c r="I177" s="17"/>
      <c r="J177" s="17"/>
      <c r="K177" s="17"/>
      <c r="L177" s="17"/>
      <c r="M177" s="17"/>
      <c r="N177" s="17"/>
    </row>
    <row r="178" spans="3:14" ht="16" customHeight="1" x14ac:dyDescent="0.2">
      <c r="C178" s="17"/>
      <c r="D178" s="97"/>
      <c r="E178" s="343"/>
      <c r="F178" s="17"/>
      <c r="G178" s="17"/>
      <c r="H178" s="17"/>
      <c r="I178" s="17"/>
      <c r="J178" s="17"/>
      <c r="K178" s="17"/>
      <c r="L178" s="17"/>
      <c r="M178" s="17"/>
      <c r="N178" s="17"/>
    </row>
    <row r="179" spans="3:14" ht="16" customHeight="1" x14ac:dyDescent="0.2">
      <c r="C179" s="17"/>
      <c r="D179" s="97"/>
      <c r="E179" s="343"/>
      <c r="F179" s="17"/>
      <c r="G179" s="17"/>
      <c r="H179" s="17"/>
      <c r="I179" s="17"/>
      <c r="J179" s="17"/>
      <c r="K179" s="17"/>
      <c r="L179" s="17"/>
      <c r="M179" s="17"/>
      <c r="N179" s="17"/>
    </row>
    <row r="180" spans="3:14" ht="16" customHeight="1" x14ac:dyDescent="0.2">
      <c r="C180" s="17"/>
      <c r="D180" s="97"/>
      <c r="E180" s="343"/>
      <c r="F180" s="17"/>
      <c r="G180" s="17"/>
      <c r="H180" s="17"/>
      <c r="I180" s="17"/>
      <c r="J180" s="17"/>
      <c r="K180" s="17"/>
      <c r="L180" s="17"/>
      <c r="M180" s="17"/>
      <c r="N180" s="17"/>
    </row>
    <row r="181" spans="3:14" ht="16" customHeight="1" x14ac:dyDescent="0.2">
      <c r="C181" s="17"/>
      <c r="D181" s="97"/>
      <c r="E181" s="343"/>
      <c r="F181" s="17"/>
      <c r="G181" s="17"/>
      <c r="H181" s="17"/>
      <c r="I181" s="17"/>
      <c r="J181" s="17"/>
      <c r="K181" s="17"/>
      <c r="L181" s="17"/>
      <c r="M181" s="17"/>
      <c r="N181" s="17"/>
    </row>
    <row r="182" spans="3:14" ht="16" customHeight="1" x14ac:dyDescent="0.2">
      <c r="C182" s="17"/>
      <c r="D182" s="97"/>
      <c r="E182" s="343"/>
      <c r="F182" s="17"/>
      <c r="G182" s="17"/>
      <c r="H182" s="17"/>
      <c r="I182" s="17"/>
      <c r="J182" s="17"/>
      <c r="K182" s="17"/>
      <c r="L182" s="17"/>
      <c r="M182" s="17"/>
      <c r="N182" s="17"/>
    </row>
    <row r="183" spans="3:14" ht="16" customHeight="1" x14ac:dyDescent="0.2">
      <c r="C183" s="17"/>
      <c r="D183" s="97"/>
      <c r="E183" s="343"/>
      <c r="F183" s="17"/>
      <c r="G183" s="17"/>
      <c r="H183" s="17"/>
      <c r="I183" s="17"/>
      <c r="J183" s="17"/>
      <c r="K183" s="17"/>
      <c r="L183" s="17"/>
      <c r="M183" s="17"/>
      <c r="N183" s="17"/>
    </row>
    <row r="184" spans="3:14" ht="16" customHeight="1" x14ac:dyDescent="0.2">
      <c r="C184" s="17"/>
      <c r="D184" s="97"/>
      <c r="E184" s="343"/>
      <c r="F184" s="17"/>
      <c r="G184" s="17"/>
      <c r="H184" s="17"/>
      <c r="I184" s="17"/>
      <c r="J184" s="17"/>
      <c r="K184" s="17"/>
      <c r="L184" s="17"/>
      <c r="M184" s="17"/>
      <c r="N184" s="17"/>
    </row>
    <row r="185" spans="3:14" ht="16" customHeight="1" x14ac:dyDescent="0.2">
      <c r="C185" s="17"/>
      <c r="D185" s="97"/>
      <c r="E185" s="343"/>
      <c r="F185" s="17"/>
      <c r="G185" s="17"/>
      <c r="H185" s="17"/>
      <c r="I185" s="17"/>
      <c r="J185" s="17"/>
      <c r="K185" s="17"/>
      <c r="L185" s="17"/>
      <c r="M185" s="17"/>
      <c r="N185" s="17"/>
    </row>
    <row r="186" spans="3:14" ht="16" customHeight="1" x14ac:dyDescent="0.2">
      <c r="C186" s="17"/>
      <c r="D186" s="97"/>
      <c r="E186" s="343"/>
      <c r="F186" s="17"/>
      <c r="G186" s="17"/>
      <c r="H186" s="17"/>
      <c r="I186" s="17"/>
      <c r="J186" s="17"/>
      <c r="K186" s="17"/>
      <c r="L186" s="17"/>
      <c r="M186" s="17"/>
      <c r="N186" s="17"/>
    </row>
    <row r="187" spans="3:14" ht="16" customHeight="1" x14ac:dyDescent="0.2">
      <c r="C187" s="17"/>
      <c r="D187" s="97"/>
      <c r="E187" s="343"/>
      <c r="F187" s="17"/>
      <c r="G187" s="17"/>
      <c r="H187" s="17"/>
      <c r="I187" s="17"/>
      <c r="J187" s="17"/>
      <c r="K187" s="17"/>
      <c r="L187" s="17"/>
      <c r="M187" s="17"/>
      <c r="N187" s="17"/>
    </row>
    <row r="188" spans="3:14" ht="16" customHeight="1" x14ac:dyDescent="0.2">
      <c r="C188" s="17"/>
      <c r="D188" s="97"/>
      <c r="E188" s="343"/>
      <c r="F188" s="17"/>
      <c r="G188" s="17"/>
      <c r="H188" s="17"/>
      <c r="I188" s="17"/>
      <c r="J188" s="17"/>
      <c r="K188" s="17"/>
      <c r="L188" s="17"/>
      <c r="M188" s="17"/>
      <c r="N188" s="17"/>
    </row>
    <row r="189" spans="3:14" ht="16" customHeight="1" x14ac:dyDescent="0.2">
      <c r="C189" s="17"/>
      <c r="D189" s="97"/>
      <c r="E189" s="343"/>
      <c r="F189" s="17"/>
      <c r="G189" s="17"/>
      <c r="H189" s="17"/>
      <c r="I189" s="17"/>
      <c r="J189" s="17"/>
      <c r="K189" s="17"/>
      <c r="L189" s="17"/>
      <c r="M189" s="17"/>
      <c r="N189" s="17"/>
    </row>
    <row r="190" spans="3:14" ht="16" customHeight="1" x14ac:dyDescent="0.2">
      <c r="C190" s="17"/>
      <c r="D190" s="97"/>
      <c r="E190" s="343"/>
      <c r="F190" s="17"/>
      <c r="G190" s="17"/>
      <c r="H190" s="17"/>
      <c r="I190" s="17"/>
      <c r="J190" s="17"/>
      <c r="K190" s="17"/>
      <c r="L190" s="17"/>
      <c r="M190" s="17"/>
      <c r="N190" s="17"/>
    </row>
    <row r="191" spans="3:14" ht="16" customHeight="1" x14ac:dyDescent="0.2">
      <c r="C191" s="17"/>
      <c r="D191" s="97"/>
      <c r="E191" s="343"/>
      <c r="F191" s="17"/>
      <c r="G191" s="17"/>
      <c r="H191" s="17"/>
      <c r="I191" s="17"/>
      <c r="J191" s="17"/>
      <c r="K191" s="17"/>
      <c r="L191" s="17"/>
      <c r="M191" s="17"/>
      <c r="N191" s="17"/>
    </row>
    <row r="192" spans="3:14" ht="16" customHeight="1" x14ac:dyDescent="0.2">
      <c r="C192" s="17"/>
      <c r="D192" s="97"/>
      <c r="E192" s="343"/>
      <c r="F192" s="17"/>
      <c r="G192" s="17"/>
      <c r="H192" s="17"/>
      <c r="I192" s="17"/>
      <c r="J192" s="17"/>
      <c r="K192" s="17"/>
      <c r="L192" s="17"/>
      <c r="M192" s="17"/>
      <c r="N192" s="17"/>
    </row>
    <row r="193" spans="3:14" ht="16" customHeight="1" x14ac:dyDescent="0.2">
      <c r="C193" s="17"/>
      <c r="D193" s="97"/>
      <c r="E193" s="343"/>
      <c r="F193" s="17"/>
      <c r="G193" s="17"/>
      <c r="H193" s="17"/>
      <c r="I193" s="17"/>
      <c r="J193" s="17"/>
      <c r="K193" s="17"/>
      <c r="L193" s="17"/>
      <c r="M193" s="17"/>
      <c r="N193" s="17"/>
    </row>
    <row r="194" spans="3:14" ht="16" customHeight="1" x14ac:dyDescent="0.2">
      <c r="C194" s="17"/>
      <c r="D194" s="97"/>
      <c r="E194" s="343"/>
      <c r="F194" s="17"/>
      <c r="G194" s="17"/>
      <c r="H194" s="17"/>
      <c r="I194" s="17"/>
      <c r="J194" s="17"/>
      <c r="K194" s="17"/>
      <c r="L194" s="17"/>
      <c r="M194" s="17"/>
      <c r="N194" s="17"/>
    </row>
    <row r="195" spans="3:14" ht="16" customHeight="1" x14ac:dyDescent="0.2">
      <c r="C195" s="17"/>
      <c r="D195" s="97"/>
      <c r="E195" s="343"/>
      <c r="F195" s="17"/>
      <c r="G195" s="17"/>
      <c r="H195" s="17"/>
      <c r="I195" s="17"/>
      <c r="J195" s="17"/>
      <c r="K195" s="17"/>
      <c r="L195" s="17"/>
      <c r="M195" s="17"/>
      <c r="N195" s="17"/>
    </row>
    <row r="196" spans="3:14" ht="16" customHeight="1" x14ac:dyDescent="0.2">
      <c r="C196" s="17"/>
      <c r="D196" s="97"/>
      <c r="E196" s="343"/>
      <c r="F196" s="17"/>
      <c r="G196" s="17"/>
      <c r="H196" s="17"/>
      <c r="I196" s="17"/>
      <c r="J196" s="17"/>
      <c r="K196" s="17"/>
      <c r="L196" s="17"/>
      <c r="M196" s="17"/>
      <c r="N196" s="17"/>
    </row>
    <row r="197" spans="3:14" ht="16" x14ac:dyDescent="0.2">
      <c r="C197" s="17"/>
      <c r="D197" s="97"/>
      <c r="E197" s="343"/>
      <c r="F197" s="17"/>
      <c r="G197" s="17"/>
      <c r="H197" s="17"/>
      <c r="I197" s="17"/>
      <c r="J197" s="17"/>
      <c r="K197" s="17"/>
      <c r="L197" s="17"/>
      <c r="M197" s="17"/>
      <c r="N197" s="17"/>
    </row>
    <row r="198" spans="3:14" ht="16" x14ac:dyDescent="0.2">
      <c r="C198" s="17"/>
      <c r="D198" s="97"/>
      <c r="E198" s="343"/>
      <c r="F198" s="17"/>
      <c r="G198" s="17"/>
      <c r="H198" s="17"/>
      <c r="I198" s="17"/>
      <c r="J198" s="17"/>
      <c r="K198" s="17"/>
      <c r="L198" s="17"/>
      <c r="M198" s="17"/>
      <c r="N198" s="17"/>
    </row>
    <row r="199" spans="3:14" ht="16" x14ac:dyDescent="0.2">
      <c r="C199" s="17"/>
      <c r="D199" s="97"/>
      <c r="E199" s="343"/>
      <c r="F199" s="17"/>
      <c r="G199" s="17"/>
      <c r="H199" s="17"/>
      <c r="I199" s="17"/>
      <c r="J199" s="17"/>
      <c r="K199" s="17"/>
      <c r="L199" s="17"/>
      <c r="M199" s="17"/>
      <c r="N199" s="17"/>
    </row>
    <row r="200" spans="3:14" ht="16" x14ac:dyDescent="0.2">
      <c r="C200" s="17"/>
      <c r="D200" s="97"/>
      <c r="E200" s="343"/>
      <c r="F200" s="17"/>
      <c r="G200" s="17"/>
      <c r="H200" s="17"/>
      <c r="I200" s="17"/>
      <c r="J200" s="17"/>
      <c r="K200" s="17"/>
      <c r="L200" s="17"/>
      <c r="M200" s="17"/>
      <c r="N200" s="17"/>
    </row>
    <row r="201" spans="3:14" ht="16" x14ac:dyDescent="0.2">
      <c r="C201" s="17"/>
      <c r="D201" s="97"/>
      <c r="E201" s="343"/>
      <c r="F201" s="17"/>
      <c r="G201" s="17"/>
      <c r="H201" s="17"/>
      <c r="I201" s="17"/>
      <c r="J201" s="17"/>
      <c r="K201" s="17"/>
      <c r="L201" s="17"/>
      <c r="M201" s="17"/>
      <c r="N201" s="17"/>
    </row>
    <row r="202" spans="3:14" ht="16" x14ac:dyDescent="0.2">
      <c r="C202" s="17"/>
      <c r="D202" s="97"/>
      <c r="E202" s="343"/>
      <c r="F202" s="17"/>
      <c r="G202" s="17"/>
      <c r="H202" s="17"/>
      <c r="I202" s="17"/>
      <c r="J202" s="17"/>
      <c r="K202" s="17"/>
      <c r="L202" s="17"/>
      <c r="M202" s="17"/>
      <c r="N202" s="17"/>
    </row>
    <row r="203" spans="3:14" ht="16" x14ac:dyDescent="0.2">
      <c r="C203" s="17"/>
      <c r="D203" s="97"/>
      <c r="E203" s="343"/>
      <c r="F203" s="17"/>
      <c r="G203" s="17"/>
      <c r="H203" s="17"/>
      <c r="I203" s="17"/>
      <c r="J203" s="17"/>
      <c r="K203" s="17"/>
      <c r="L203" s="17"/>
      <c r="M203" s="17"/>
      <c r="N203" s="17"/>
    </row>
    <row r="204" spans="3:14" ht="16" x14ac:dyDescent="0.2">
      <c r="C204" s="17"/>
      <c r="D204" s="97"/>
      <c r="E204" s="343"/>
      <c r="F204" s="17"/>
      <c r="G204" s="17"/>
      <c r="H204" s="17"/>
      <c r="I204" s="17"/>
      <c r="J204" s="17"/>
      <c r="K204" s="17"/>
      <c r="L204" s="17"/>
      <c r="M204" s="17"/>
      <c r="N204" s="17"/>
    </row>
    <row r="205" spans="3:14" ht="16" x14ac:dyDescent="0.2">
      <c r="C205" s="17"/>
      <c r="D205" s="97"/>
      <c r="E205" s="343"/>
      <c r="F205" s="17"/>
      <c r="G205" s="17"/>
      <c r="H205" s="17"/>
      <c r="I205" s="17"/>
      <c r="J205" s="17"/>
      <c r="K205" s="17"/>
      <c r="L205" s="17"/>
      <c r="M205" s="17"/>
      <c r="N205" s="17"/>
    </row>
    <row r="206" spans="3:14" ht="16" x14ac:dyDescent="0.2">
      <c r="C206" s="17"/>
      <c r="D206" s="97"/>
      <c r="E206" s="343"/>
      <c r="F206" s="17"/>
      <c r="G206" s="17"/>
      <c r="H206" s="17"/>
      <c r="I206" s="17"/>
      <c r="J206" s="17"/>
      <c r="K206" s="17"/>
      <c r="L206" s="17"/>
      <c r="M206" s="17"/>
      <c r="N206" s="17"/>
    </row>
    <row r="207" spans="3:14" ht="16" x14ac:dyDescent="0.2">
      <c r="C207" s="17"/>
      <c r="D207" s="97"/>
      <c r="E207" s="343"/>
      <c r="F207" s="17"/>
      <c r="G207" s="17"/>
      <c r="H207" s="17"/>
      <c r="I207" s="17"/>
      <c r="J207" s="17"/>
      <c r="K207" s="17"/>
      <c r="L207" s="17"/>
      <c r="M207" s="17"/>
      <c r="N207" s="17"/>
    </row>
    <row r="208" spans="3:14" ht="16" x14ac:dyDescent="0.2">
      <c r="C208" s="17"/>
      <c r="D208" s="97"/>
      <c r="E208" s="343"/>
      <c r="F208" s="17"/>
      <c r="G208" s="17"/>
      <c r="H208" s="17"/>
      <c r="I208" s="17"/>
      <c r="J208" s="17"/>
      <c r="K208" s="17"/>
      <c r="L208" s="17"/>
      <c r="M208" s="17"/>
      <c r="N208" s="17"/>
    </row>
    <row r="209" spans="3:14" ht="16" x14ac:dyDescent="0.2">
      <c r="C209" s="17"/>
      <c r="D209" s="97"/>
      <c r="E209" s="343"/>
      <c r="F209" s="17"/>
      <c r="G209" s="17"/>
      <c r="H209" s="17"/>
      <c r="I209" s="17"/>
      <c r="J209" s="17"/>
      <c r="K209" s="17"/>
      <c r="L209" s="17"/>
      <c r="M209" s="17"/>
      <c r="N209" s="17"/>
    </row>
    <row r="210" spans="3:14" ht="16" x14ac:dyDescent="0.2">
      <c r="C210" s="17"/>
      <c r="D210" s="97"/>
      <c r="E210" s="343"/>
      <c r="F210" s="17"/>
      <c r="G210" s="17"/>
      <c r="H210" s="17"/>
      <c r="I210" s="17"/>
      <c r="J210" s="17"/>
      <c r="K210" s="17"/>
      <c r="L210" s="17"/>
      <c r="M210" s="17"/>
      <c r="N210" s="17"/>
    </row>
    <row r="211" spans="3:14" ht="16" x14ac:dyDescent="0.2">
      <c r="C211" s="17"/>
      <c r="D211" s="97"/>
      <c r="E211" s="343"/>
      <c r="F211" s="17"/>
      <c r="G211" s="17"/>
      <c r="H211" s="17"/>
      <c r="I211" s="17"/>
      <c r="J211" s="17"/>
      <c r="K211" s="17"/>
      <c r="L211" s="17"/>
      <c r="M211" s="17"/>
      <c r="N211" s="17"/>
    </row>
    <row r="212" spans="3:14" ht="16" x14ac:dyDescent="0.2">
      <c r="C212" s="17"/>
      <c r="D212" s="97"/>
      <c r="E212" s="343"/>
      <c r="F212" s="17"/>
      <c r="G212" s="17"/>
      <c r="H212" s="17"/>
      <c r="I212" s="17"/>
      <c r="J212" s="17"/>
      <c r="K212" s="17"/>
      <c r="L212" s="17"/>
      <c r="M212" s="17"/>
      <c r="N212" s="17"/>
    </row>
    <row r="213" spans="3:14" ht="16" x14ac:dyDescent="0.2">
      <c r="C213" s="17"/>
      <c r="D213" s="97"/>
      <c r="E213" s="343"/>
      <c r="F213" s="17"/>
      <c r="G213" s="17"/>
      <c r="H213" s="17"/>
      <c r="I213" s="17"/>
      <c r="J213" s="17"/>
      <c r="K213" s="17"/>
      <c r="L213" s="17"/>
      <c r="M213" s="17"/>
      <c r="N213" s="17"/>
    </row>
    <row r="214" spans="3:14" ht="16" x14ac:dyDescent="0.2">
      <c r="C214" s="17"/>
      <c r="D214" s="97"/>
      <c r="E214" s="343"/>
      <c r="F214" s="17"/>
      <c r="G214" s="17"/>
      <c r="H214" s="17"/>
      <c r="I214" s="17"/>
      <c r="J214" s="17"/>
      <c r="K214" s="17"/>
      <c r="L214" s="17"/>
      <c r="M214" s="17"/>
      <c r="N214" s="17"/>
    </row>
    <row r="215" spans="3:14" ht="16" x14ac:dyDescent="0.2">
      <c r="C215" s="17"/>
      <c r="D215" s="97"/>
      <c r="E215" s="343"/>
      <c r="F215" s="17"/>
      <c r="G215" s="17"/>
      <c r="H215" s="17"/>
      <c r="I215" s="17"/>
      <c r="J215" s="17"/>
      <c r="K215" s="17"/>
      <c r="L215" s="17"/>
      <c r="M215" s="17"/>
      <c r="N215" s="17"/>
    </row>
    <row r="216" spans="3:14" ht="16" x14ac:dyDescent="0.2">
      <c r="C216" s="17"/>
      <c r="D216" s="97"/>
      <c r="E216" s="343"/>
      <c r="F216" s="17"/>
      <c r="G216" s="17"/>
      <c r="H216" s="17"/>
      <c r="I216" s="17"/>
      <c r="J216" s="17"/>
      <c r="K216" s="17"/>
      <c r="L216" s="17"/>
      <c r="M216" s="17"/>
      <c r="N216" s="17"/>
    </row>
    <row r="217" spans="3:14" ht="16" x14ac:dyDescent="0.2">
      <c r="C217" s="17"/>
      <c r="D217" s="97"/>
      <c r="E217" s="343"/>
      <c r="F217" s="17"/>
      <c r="G217" s="17"/>
      <c r="H217" s="17"/>
      <c r="I217" s="17"/>
      <c r="J217" s="17"/>
      <c r="K217" s="17"/>
      <c r="L217" s="17"/>
      <c r="M217" s="17"/>
      <c r="N217" s="17"/>
    </row>
    <row r="218" spans="3:14" ht="16" x14ac:dyDescent="0.2">
      <c r="C218" s="17"/>
      <c r="D218" s="97"/>
      <c r="E218" s="343"/>
      <c r="F218" s="17"/>
      <c r="G218" s="17"/>
      <c r="H218" s="17"/>
      <c r="I218" s="17"/>
      <c r="J218" s="17"/>
      <c r="K218" s="17"/>
      <c r="L218" s="17"/>
      <c r="M218" s="17"/>
      <c r="N218" s="17"/>
    </row>
    <row r="219" spans="3:14" ht="16" x14ac:dyDescent="0.2">
      <c r="C219" s="17"/>
      <c r="D219" s="97"/>
      <c r="E219" s="343"/>
      <c r="F219" s="17"/>
      <c r="G219" s="17"/>
      <c r="H219" s="17"/>
      <c r="I219" s="17"/>
      <c r="J219" s="17"/>
      <c r="K219" s="17"/>
      <c r="L219" s="17"/>
      <c r="M219" s="17"/>
      <c r="N219" s="17"/>
    </row>
    <row r="220" spans="3:14" ht="16" x14ac:dyDescent="0.2">
      <c r="C220" s="17"/>
      <c r="D220" s="97"/>
      <c r="E220" s="343"/>
      <c r="F220" s="17"/>
      <c r="G220" s="17"/>
      <c r="H220" s="17"/>
      <c r="I220" s="17"/>
      <c r="J220" s="17"/>
      <c r="K220" s="17"/>
      <c r="L220" s="17"/>
      <c r="M220" s="17"/>
      <c r="N220" s="17"/>
    </row>
    <row r="221" spans="3:14" ht="16" x14ac:dyDescent="0.2">
      <c r="C221" s="17"/>
      <c r="D221" s="97"/>
      <c r="E221" s="343"/>
      <c r="F221" s="17"/>
      <c r="G221" s="17"/>
      <c r="H221" s="17"/>
      <c r="I221" s="17"/>
      <c r="J221" s="17"/>
      <c r="K221" s="17"/>
      <c r="L221" s="17"/>
      <c r="M221" s="17"/>
      <c r="N221" s="17"/>
    </row>
    <row r="222" spans="3:14" ht="16" x14ac:dyDescent="0.2">
      <c r="C222" s="17"/>
      <c r="D222" s="97"/>
      <c r="E222" s="343"/>
      <c r="F222" s="17"/>
      <c r="G222" s="17"/>
      <c r="H222" s="17"/>
      <c r="I222" s="17"/>
      <c r="J222" s="17"/>
      <c r="K222" s="17"/>
      <c r="L222" s="17"/>
      <c r="M222" s="17"/>
      <c r="N222" s="17"/>
    </row>
    <row r="223" spans="3:14" ht="16" x14ac:dyDescent="0.2">
      <c r="C223" s="17"/>
      <c r="D223" s="97"/>
      <c r="E223" s="343"/>
      <c r="F223" s="17"/>
      <c r="G223" s="17"/>
      <c r="H223" s="17"/>
      <c r="I223" s="17"/>
      <c r="J223" s="17"/>
      <c r="K223" s="17"/>
      <c r="L223" s="17"/>
      <c r="M223" s="17"/>
      <c r="N223" s="17"/>
    </row>
    <row r="224" spans="3:14" ht="16" x14ac:dyDescent="0.2">
      <c r="C224" s="17"/>
      <c r="D224" s="97"/>
      <c r="E224" s="343"/>
      <c r="F224" s="17"/>
      <c r="G224" s="17"/>
      <c r="H224" s="17"/>
      <c r="I224" s="17"/>
      <c r="J224" s="17"/>
      <c r="K224" s="17"/>
      <c r="L224" s="17"/>
      <c r="M224" s="17"/>
      <c r="N224" s="17"/>
    </row>
    <row r="225" spans="3:14" ht="16" x14ac:dyDescent="0.2">
      <c r="C225" s="17"/>
      <c r="D225" s="97"/>
      <c r="E225" s="343"/>
      <c r="F225" s="17"/>
      <c r="G225" s="17"/>
      <c r="H225" s="17"/>
      <c r="I225" s="17"/>
      <c r="J225" s="17"/>
      <c r="K225" s="17"/>
      <c r="L225" s="17"/>
      <c r="M225" s="17"/>
      <c r="N225" s="17"/>
    </row>
    <row r="226" spans="3:14" ht="16" x14ac:dyDescent="0.2">
      <c r="C226" s="17"/>
      <c r="D226" s="97"/>
      <c r="E226" s="343"/>
      <c r="F226" s="17"/>
      <c r="G226" s="17"/>
      <c r="H226" s="17"/>
      <c r="I226" s="17"/>
      <c r="J226" s="17"/>
      <c r="K226" s="17"/>
      <c r="L226" s="17"/>
      <c r="M226" s="17"/>
      <c r="N226" s="17"/>
    </row>
    <row r="227" spans="3:14" ht="16" x14ac:dyDescent="0.2">
      <c r="C227" s="17"/>
      <c r="D227" s="97"/>
      <c r="E227" s="343"/>
      <c r="F227" s="17"/>
      <c r="G227" s="17"/>
      <c r="H227" s="17"/>
      <c r="I227" s="17"/>
      <c r="J227" s="17"/>
      <c r="K227" s="17"/>
      <c r="L227" s="17"/>
      <c r="M227" s="17"/>
      <c r="N227" s="17"/>
    </row>
    <row r="228" spans="3:14" ht="16" x14ac:dyDescent="0.2">
      <c r="C228" s="17"/>
      <c r="D228" s="97"/>
      <c r="E228" s="343"/>
      <c r="F228" s="17"/>
      <c r="G228" s="17"/>
      <c r="H228" s="17"/>
      <c r="I228" s="17"/>
      <c r="J228" s="17"/>
      <c r="K228" s="17"/>
      <c r="L228" s="17"/>
      <c r="M228" s="17"/>
      <c r="N228" s="17"/>
    </row>
    <row r="229" spans="3:14" ht="16" x14ac:dyDescent="0.2">
      <c r="C229" s="17"/>
      <c r="D229" s="97"/>
      <c r="E229" s="343"/>
      <c r="F229" s="17"/>
      <c r="G229" s="17"/>
      <c r="H229" s="17"/>
      <c r="I229" s="17"/>
      <c r="J229" s="17"/>
      <c r="K229" s="17"/>
      <c r="L229" s="17"/>
      <c r="M229" s="17"/>
      <c r="N229" s="17"/>
    </row>
    <row r="230" spans="3:14" ht="16" x14ac:dyDescent="0.2">
      <c r="C230" s="17"/>
      <c r="D230" s="97"/>
      <c r="E230" s="343"/>
      <c r="F230" s="17"/>
      <c r="G230" s="17"/>
      <c r="H230" s="17"/>
      <c r="I230" s="17"/>
      <c r="J230" s="17"/>
      <c r="K230" s="17"/>
      <c r="L230" s="17"/>
      <c r="M230" s="17"/>
      <c r="N230" s="17"/>
    </row>
    <row r="231" spans="3:14" ht="16" x14ac:dyDescent="0.2">
      <c r="C231" s="17"/>
      <c r="D231" s="97"/>
      <c r="E231" s="343"/>
      <c r="F231" s="17"/>
      <c r="G231" s="17"/>
      <c r="H231" s="17"/>
      <c r="I231" s="17"/>
      <c r="J231" s="17"/>
      <c r="K231" s="17"/>
      <c r="L231" s="17"/>
      <c r="M231" s="17"/>
      <c r="N231" s="17"/>
    </row>
    <row r="232" spans="3:14" ht="16" x14ac:dyDescent="0.2">
      <c r="C232" s="17"/>
      <c r="D232" s="97"/>
      <c r="E232" s="343"/>
      <c r="F232" s="17"/>
      <c r="G232" s="17"/>
      <c r="H232" s="17"/>
      <c r="I232" s="17"/>
      <c r="J232" s="17"/>
      <c r="K232" s="17"/>
      <c r="L232" s="17"/>
      <c r="M232" s="17"/>
      <c r="N232" s="17"/>
    </row>
    <row r="233" spans="3:14" ht="16" x14ac:dyDescent="0.2">
      <c r="C233" s="17"/>
      <c r="D233" s="97"/>
      <c r="E233" s="343"/>
      <c r="F233" s="17"/>
      <c r="G233" s="17"/>
      <c r="H233" s="17"/>
      <c r="I233" s="17"/>
      <c r="J233" s="17"/>
      <c r="K233" s="17"/>
      <c r="L233" s="17"/>
      <c r="M233" s="17"/>
      <c r="N233" s="17"/>
    </row>
    <row r="234" spans="3:14" ht="16" x14ac:dyDescent="0.2">
      <c r="C234" s="17"/>
      <c r="D234" s="97"/>
      <c r="E234" s="343"/>
      <c r="F234" s="17"/>
      <c r="G234" s="17"/>
      <c r="H234" s="17"/>
      <c r="I234" s="17"/>
      <c r="J234" s="17"/>
      <c r="K234" s="17"/>
      <c r="L234" s="17"/>
      <c r="M234" s="17"/>
      <c r="N234" s="17"/>
    </row>
    <row r="235" spans="3:14" ht="16" x14ac:dyDescent="0.2">
      <c r="C235" s="17"/>
      <c r="D235" s="97"/>
      <c r="E235" s="343"/>
      <c r="F235" s="17"/>
      <c r="G235" s="17"/>
      <c r="H235" s="17"/>
      <c r="I235" s="17"/>
      <c r="J235" s="17"/>
      <c r="K235" s="17"/>
      <c r="L235" s="17"/>
      <c r="M235" s="17"/>
      <c r="N235" s="17"/>
    </row>
    <row r="236" spans="3:14" ht="16" x14ac:dyDescent="0.2">
      <c r="C236" s="17"/>
      <c r="D236" s="97"/>
      <c r="E236" s="343"/>
      <c r="F236" s="17"/>
      <c r="G236" s="17"/>
      <c r="H236" s="17"/>
      <c r="I236" s="17"/>
      <c r="J236" s="17"/>
      <c r="K236" s="17"/>
      <c r="L236" s="17"/>
      <c r="M236" s="17"/>
      <c r="N236" s="17"/>
    </row>
    <row r="237" spans="3:14" ht="16" x14ac:dyDescent="0.2">
      <c r="C237" s="17"/>
      <c r="D237" s="97"/>
      <c r="E237" s="343"/>
      <c r="F237" s="17"/>
      <c r="G237" s="17"/>
      <c r="H237" s="17"/>
      <c r="I237" s="17"/>
      <c r="J237" s="17"/>
      <c r="K237" s="17"/>
      <c r="L237" s="17"/>
      <c r="M237" s="17"/>
      <c r="N237" s="17"/>
    </row>
    <row r="238" spans="3:14" ht="16" x14ac:dyDescent="0.2">
      <c r="C238" s="17"/>
      <c r="D238" s="97"/>
      <c r="E238" s="343"/>
      <c r="F238" s="17"/>
      <c r="G238" s="17"/>
      <c r="H238" s="17"/>
      <c r="I238" s="17"/>
      <c r="J238" s="17"/>
      <c r="K238" s="17"/>
      <c r="L238" s="17"/>
      <c r="M238" s="17"/>
      <c r="N238" s="17"/>
    </row>
    <row r="239" spans="3:14" ht="16" x14ac:dyDescent="0.2">
      <c r="C239" s="17"/>
      <c r="D239" s="97"/>
      <c r="E239" s="343"/>
      <c r="F239" s="17"/>
      <c r="G239" s="17"/>
      <c r="H239" s="17"/>
      <c r="I239" s="17"/>
      <c r="J239" s="17"/>
      <c r="K239" s="17"/>
      <c r="L239" s="17"/>
      <c r="M239" s="17"/>
      <c r="N239" s="17"/>
    </row>
    <row r="240" spans="3:14" ht="16" x14ac:dyDescent="0.2">
      <c r="C240" s="17"/>
      <c r="D240" s="97"/>
      <c r="E240" s="343"/>
      <c r="F240" s="17"/>
      <c r="G240" s="17"/>
      <c r="H240" s="17"/>
      <c r="I240" s="17"/>
      <c r="J240" s="17"/>
      <c r="K240" s="17"/>
      <c r="L240" s="17"/>
      <c r="M240" s="17"/>
      <c r="N240" s="17"/>
    </row>
    <row r="241" spans="3:14" ht="16" x14ac:dyDescent="0.2">
      <c r="C241" s="17"/>
      <c r="D241" s="97"/>
      <c r="E241" s="343"/>
      <c r="F241" s="17"/>
      <c r="G241" s="17"/>
      <c r="H241" s="17"/>
      <c r="I241" s="17"/>
      <c r="J241" s="17"/>
      <c r="K241" s="17"/>
      <c r="L241" s="17"/>
      <c r="M241" s="17"/>
      <c r="N241" s="17"/>
    </row>
    <row r="242" spans="3:14" ht="16" x14ac:dyDescent="0.2">
      <c r="C242" s="17"/>
      <c r="D242" s="97"/>
      <c r="E242" s="343"/>
      <c r="F242" s="17"/>
      <c r="G242" s="17"/>
      <c r="H242" s="17"/>
      <c r="I242" s="17"/>
      <c r="J242" s="17"/>
      <c r="K242" s="17"/>
      <c r="L242" s="17"/>
      <c r="M242" s="17"/>
      <c r="N242" s="17"/>
    </row>
    <row r="243" spans="3:14" ht="16" x14ac:dyDescent="0.2">
      <c r="C243" s="17"/>
      <c r="D243" s="97"/>
      <c r="E243" s="343"/>
      <c r="F243" s="17"/>
      <c r="G243" s="17"/>
      <c r="H243" s="17"/>
      <c r="I243" s="17"/>
      <c r="J243" s="17"/>
      <c r="K243" s="17"/>
      <c r="L243" s="17"/>
      <c r="M243" s="17"/>
      <c r="N243" s="17"/>
    </row>
    <row r="244" spans="3:14" ht="16" x14ac:dyDescent="0.2">
      <c r="C244" s="17"/>
      <c r="D244" s="97"/>
      <c r="E244" s="343"/>
      <c r="F244" s="17"/>
      <c r="G244" s="17"/>
      <c r="H244" s="17"/>
      <c r="I244" s="17"/>
      <c r="J244" s="17"/>
      <c r="K244" s="17"/>
      <c r="L244" s="17"/>
      <c r="M244" s="17"/>
      <c r="N244" s="17"/>
    </row>
    <row r="245" spans="3:14" ht="16" x14ac:dyDescent="0.2">
      <c r="C245" s="17"/>
      <c r="D245" s="97"/>
      <c r="E245" s="17"/>
      <c r="F245" s="17"/>
      <c r="G245" s="17"/>
      <c r="H245" s="17"/>
      <c r="I245" s="17"/>
      <c r="J245" s="17"/>
      <c r="K245" s="17"/>
      <c r="L245" s="17"/>
      <c r="M245" s="17"/>
      <c r="N245" s="17"/>
    </row>
    <row r="246" spans="3:14" ht="16" x14ac:dyDescent="0.2">
      <c r="C246" s="17"/>
      <c r="D246" s="97"/>
      <c r="E246" s="17"/>
      <c r="F246" s="17"/>
      <c r="G246" s="17"/>
      <c r="H246" s="17"/>
      <c r="I246" s="17"/>
      <c r="J246" s="17"/>
      <c r="K246" s="17"/>
      <c r="L246" s="17"/>
      <c r="M246" s="17"/>
      <c r="N246" s="17"/>
    </row>
    <row r="247" spans="3:14" ht="16" x14ac:dyDescent="0.2">
      <c r="C247" s="17"/>
      <c r="D247" s="97"/>
      <c r="E247" s="17"/>
      <c r="F247" s="17"/>
      <c r="G247" s="17"/>
      <c r="H247" s="17"/>
      <c r="I247" s="17"/>
      <c r="J247" s="17"/>
      <c r="K247" s="17"/>
      <c r="L247" s="17"/>
      <c r="M247" s="17"/>
      <c r="N247" s="17"/>
    </row>
    <row r="248" spans="3:14" ht="16" x14ac:dyDescent="0.2">
      <c r="C248" s="17"/>
      <c r="D248" s="97"/>
      <c r="E248" s="17"/>
      <c r="F248" s="17"/>
      <c r="G248" s="17"/>
      <c r="H248" s="17"/>
      <c r="I248" s="17"/>
      <c r="J248" s="17"/>
      <c r="K248" s="17"/>
      <c r="L248" s="17"/>
      <c r="M248" s="17"/>
      <c r="N248" s="17"/>
    </row>
    <row r="249" spans="3:14" ht="16" x14ac:dyDescent="0.2">
      <c r="C249" s="17"/>
      <c r="D249" s="97"/>
      <c r="E249" s="17"/>
      <c r="F249" s="17"/>
      <c r="G249" s="17"/>
      <c r="H249" s="17"/>
      <c r="I249" s="17"/>
      <c r="J249" s="17"/>
      <c r="K249" s="17"/>
      <c r="L249" s="17"/>
      <c r="M249" s="17"/>
      <c r="N249" s="17"/>
    </row>
    <row r="250" spans="3:14" ht="16" x14ac:dyDescent="0.2">
      <c r="C250" s="17"/>
      <c r="D250" s="97"/>
      <c r="E250" s="17"/>
      <c r="F250" s="17"/>
      <c r="G250" s="17"/>
      <c r="H250" s="17"/>
      <c r="I250" s="17"/>
      <c r="J250" s="17"/>
      <c r="K250" s="17"/>
      <c r="L250" s="17"/>
      <c r="M250" s="17"/>
      <c r="N250" s="17"/>
    </row>
    <row r="251" spans="3:14" ht="16" x14ac:dyDescent="0.2">
      <c r="C251" s="17"/>
      <c r="D251" s="97"/>
      <c r="E251" s="17"/>
      <c r="F251" s="17"/>
      <c r="G251" s="17"/>
      <c r="H251" s="17"/>
      <c r="I251" s="17"/>
      <c r="J251" s="17"/>
      <c r="K251" s="17"/>
      <c r="L251" s="17"/>
      <c r="M251" s="17"/>
      <c r="N251" s="17"/>
    </row>
    <row r="252" spans="3:14" ht="16" x14ac:dyDescent="0.2">
      <c r="C252" s="17"/>
      <c r="D252" s="97"/>
      <c r="E252" s="17"/>
      <c r="F252" s="17"/>
      <c r="G252" s="17"/>
      <c r="H252" s="17"/>
      <c r="I252" s="17"/>
      <c r="J252" s="17"/>
      <c r="K252" s="17"/>
      <c r="L252" s="17"/>
      <c r="M252" s="17"/>
      <c r="N252" s="17"/>
    </row>
    <row r="253" spans="3:14" ht="16" x14ac:dyDescent="0.2">
      <c r="C253" s="17"/>
      <c r="D253" s="97"/>
      <c r="E253" s="17"/>
      <c r="F253" s="17"/>
      <c r="G253" s="17"/>
      <c r="H253" s="17"/>
      <c r="I253" s="17"/>
      <c r="J253" s="17"/>
      <c r="K253" s="17"/>
      <c r="L253" s="17"/>
      <c r="M253" s="17"/>
      <c r="N253" s="17"/>
    </row>
    <row r="254" spans="3:14" ht="16" x14ac:dyDescent="0.2">
      <c r="C254" s="17"/>
      <c r="D254" s="97"/>
      <c r="E254" s="17"/>
      <c r="F254" s="17"/>
      <c r="G254" s="17"/>
      <c r="H254" s="17"/>
      <c r="I254" s="17"/>
      <c r="J254" s="17"/>
      <c r="K254" s="17"/>
      <c r="L254" s="17"/>
      <c r="M254" s="17"/>
      <c r="N254" s="17"/>
    </row>
    <row r="255" spans="3:14" ht="16" x14ac:dyDescent="0.2">
      <c r="C255" s="17"/>
      <c r="D255" s="97"/>
      <c r="E255" s="17"/>
      <c r="F255" s="17"/>
      <c r="G255" s="17"/>
      <c r="H255" s="17"/>
      <c r="I255" s="17"/>
      <c r="J255" s="17"/>
      <c r="K255" s="17"/>
      <c r="L255" s="17"/>
      <c r="M255" s="17"/>
      <c r="N255" s="17"/>
    </row>
    <row r="256" spans="3:14" ht="16" x14ac:dyDescent="0.2">
      <c r="C256" s="17"/>
      <c r="D256" s="97"/>
      <c r="E256" s="17"/>
      <c r="F256" s="17"/>
      <c r="G256" s="17"/>
      <c r="H256" s="17"/>
      <c r="I256" s="17"/>
      <c r="J256" s="17"/>
      <c r="K256" s="17"/>
      <c r="L256" s="17"/>
      <c r="M256" s="17"/>
      <c r="N256" s="17"/>
    </row>
    <row r="257" spans="3:14" ht="16" x14ac:dyDescent="0.2">
      <c r="C257" s="17"/>
      <c r="D257" s="97"/>
      <c r="E257" s="17"/>
      <c r="F257" s="17"/>
      <c r="G257" s="17"/>
      <c r="H257" s="17"/>
      <c r="I257" s="17"/>
      <c r="J257" s="17"/>
      <c r="K257" s="17"/>
      <c r="L257" s="17"/>
      <c r="M257" s="17"/>
      <c r="N257" s="17"/>
    </row>
    <row r="258" spans="3:14" ht="16" x14ac:dyDescent="0.2">
      <c r="C258" s="17"/>
      <c r="D258" s="97"/>
      <c r="E258" s="17"/>
      <c r="F258" s="17"/>
      <c r="G258" s="17"/>
      <c r="H258" s="17"/>
      <c r="I258" s="17"/>
      <c r="J258" s="17"/>
      <c r="K258" s="17"/>
      <c r="L258" s="17"/>
      <c r="M258" s="17"/>
      <c r="N258" s="17"/>
    </row>
    <row r="259" spans="3:14" ht="16" x14ac:dyDescent="0.2">
      <c r="C259" s="17"/>
      <c r="D259" s="97"/>
      <c r="E259" s="17"/>
      <c r="F259" s="17"/>
      <c r="G259" s="17"/>
      <c r="H259" s="17"/>
      <c r="I259" s="17"/>
      <c r="J259" s="17"/>
      <c r="K259" s="17"/>
      <c r="L259" s="17"/>
      <c r="M259" s="17"/>
      <c r="N259" s="17"/>
    </row>
    <row r="260" spans="3:14" ht="16" x14ac:dyDescent="0.2">
      <c r="C260" s="17"/>
      <c r="D260" s="97"/>
      <c r="E260" s="17"/>
      <c r="F260" s="17"/>
      <c r="G260" s="17"/>
      <c r="H260" s="17"/>
      <c r="I260" s="17"/>
      <c r="J260" s="17"/>
      <c r="K260" s="17"/>
      <c r="L260" s="17"/>
      <c r="M260" s="17"/>
      <c r="N260" s="17"/>
    </row>
    <row r="261" spans="3:14" ht="16" x14ac:dyDescent="0.2">
      <c r="C261" s="17"/>
      <c r="D261" s="97"/>
      <c r="E261" s="17"/>
      <c r="F261" s="17"/>
      <c r="G261" s="17"/>
      <c r="H261" s="17"/>
      <c r="I261" s="17"/>
      <c r="J261" s="17"/>
      <c r="K261" s="17"/>
      <c r="L261" s="17"/>
      <c r="M261" s="17"/>
      <c r="N261" s="17"/>
    </row>
    <row r="262" spans="3:14" ht="16" x14ac:dyDescent="0.2">
      <c r="C262" s="17"/>
      <c r="D262" s="97"/>
      <c r="E262" s="17"/>
      <c r="F262" s="17"/>
      <c r="G262" s="17"/>
      <c r="H262" s="17"/>
      <c r="I262" s="17"/>
      <c r="J262" s="17"/>
      <c r="K262" s="17"/>
      <c r="L262" s="17"/>
      <c r="M262" s="17"/>
      <c r="N262" s="17"/>
    </row>
    <row r="263" spans="3:14" ht="16" x14ac:dyDescent="0.2">
      <c r="C263" s="17"/>
      <c r="D263" s="97"/>
      <c r="E263" s="17"/>
      <c r="F263" s="17"/>
      <c r="G263" s="17"/>
      <c r="H263" s="17"/>
      <c r="I263" s="17"/>
      <c r="J263" s="17"/>
      <c r="K263" s="17"/>
      <c r="L263" s="17"/>
      <c r="M263" s="17"/>
      <c r="N263" s="17"/>
    </row>
    <row r="264" spans="3:14" ht="16" x14ac:dyDescent="0.2">
      <c r="C264" s="17"/>
      <c r="D264" s="97"/>
      <c r="E264" s="17"/>
      <c r="F264" s="17"/>
      <c r="G264" s="17"/>
      <c r="H264" s="17"/>
      <c r="I264" s="17"/>
      <c r="J264" s="17"/>
      <c r="K264" s="17"/>
      <c r="L264" s="17"/>
      <c r="M264" s="17"/>
      <c r="N264" s="17"/>
    </row>
  </sheetData>
  <sheetProtection sheet="1" objects="1" scenarios="1"/>
  <mergeCells count="24">
    <mergeCell ref="M3:N3"/>
    <mergeCell ref="M4:N4"/>
    <mergeCell ref="J3:K3"/>
    <mergeCell ref="C7:E7"/>
    <mergeCell ref="G1:H1"/>
    <mergeCell ref="I1:J1"/>
    <mergeCell ref="G3:H3"/>
    <mergeCell ref="G4:H4"/>
    <mergeCell ref="J4:K4"/>
    <mergeCell ref="J5:K5"/>
    <mergeCell ref="C3:E4"/>
    <mergeCell ref="C5:E5"/>
    <mergeCell ref="C124:C128"/>
    <mergeCell ref="C121:C123"/>
    <mergeCell ref="C11:C13"/>
    <mergeCell ref="C36:C40"/>
    <mergeCell ref="C33:C35"/>
    <mergeCell ref="C58:C62"/>
    <mergeCell ref="C55:C57"/>
    <mergeCell ref="C80:C84"/>
    <mergeCell ref="C77:C79"/>
    <mergeCell ref="C102:C106"/>
    <mergeCell ref="C99:C101"/>
    <mergeCell ref="C14:C21"/>
  </mergeCells>
  <conditionalFormatting sqref="G6:N9 G11:N140 G10">
    <cfRule type="expression" dxfId="20" priority="23">
      <formula>G$7=ActiveStage</formula>
    </cfRule>
  </conditionalFormatting>
  <conditionalFormatting sqref="G6:N8">
    <cfRule type="expression" dxfId="19" priority="20">
      <formula>G$7=ActiveStage</formula>
    </cfRule>
  </conditionalFormatting>
  <conditionalFormatting sqref="G3:H4">
    <cfRule type="expression" dxfId="18" priority="2">
      <formula>ActiveStage=0</formula>
    </cfRule>
  </conditionalFormatting>
  <conditionalFormatting sqref="M3:N4">
    <cfRule type="expression" dxfId="17" priority="1">
      <formula>INDEX(AnswerCompletion,1,ActiveStage+1) &lt; VisibleIndicatorCount</formula>
    </cfRule>
  </conditionalFormatting>
  <hyperlinks>
    <hyperlink ref="I1:J1" location="Glossary!A1" display="❓  Glossary" xr:uid="{5C860E40-4540-B140-A1BF-87F581E0421D}"/>
    <hyperlink ref="G1:H1" r:id="rId1" display="❓ Tool Guidance" xr:uid="{38385F10-FAE0-1C42-89FE-A388DB500806}"/>
  </hyperlinks>
  <pageMargins left="0.25" right="0.25" top="0.75" bottom="0.75" header="0.3" footer="0.3"/>
  <pageSetup paperSize="9" scale="52" orientation="portrait" horizontalDpi="4294967295" verticalDpi="4294967295" r:id="rId2"/>
  <drawing r:id="rId3"/>
  <extLst>
    <ext xmlns:x14="http://schemas.microsoft.com/office/spreadsheetml/2009/9/main" uri="{78C0D931-6437-407d-A8EE-F0AAD7539E65}">
      <x14:conditionalFormattings>
        <x14:conditionalFormatting xmlns:xm="http://schemas.microsoft.com/office/excel/2006/main">
          <x14:cfRule type="expression" priority="113" id="{DD6AAD78-21EE-7C40-8C38-5AEBAA73FB3E}">
            <xm:f>AND(OR(data!I10=4,data!Y10 = FALSE),G$7&lt;=ActiveStage)</xm:f>
            <x14:dxf>
              <fill>
                <patternFill>
                  <bgColor theme="0" tint="-0.34998626667073579"/>
                </patternFill>
              </fill>
            </x14:dxf>
          </x14:cfRule>
          <x14:cfRule type="expression" priority="114" id="{01AB70E3-9C5F-2F45-9EAD-5251AF852FEE}">
            <xm:f>AND(data!I10=3,G$7&lt;=ActiveStage)</xm:f>
            <x14:dxf>
              <fill>
                <patternFill>
                  <bgColor rgb="FFFF0000"/>
                </patternFill>
              </fill>
            </x14:dxf>
          </x14:cfRule>
          <x14:cfRule type="expression" priority="115" id="{47CA0B87-4FF7-FC4B-9CC5-D9E0F67E77A8}">
            <xm:f>AND(data!I10=2,G$7&lt;=ActiveStage)</xm:f>
            <x14:dxf>
              <fill>
                <patternFill>
                  <bgColor theme="7"/>
                </patternFill>
              </fill>
            </x14:dxf>
          </x14:cfRule>
          <x14:cfRule type="expression" priority="116" id="{E58ADB22-6A2C-7F4B-8265-85B20D456D76}">
            <xm:f>AND(data!I10=1,G$7&lt;=ActiveStage)</xm:f>
            <x14:dxf>
              <fill>
                <patternFill>
                  <fgColor auto="1"/>
                  <bgColor theme="9"/>
                </patternFill>
              </fill>
            </x14:dxf>
          </x14:cfRule>
          <xm:sqref>G11:N141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09CD-F44A-9946-A91C-EC000D0E068D}">
  <sheetPr codeName="Glossary"/>
  <dimension ref="C1:O18"/>
  <sheetViews>
    <sheetView showGridLines="0" workbookViewId="0">
      <pane ySplit="1" topLeftCell="A2" activePane="bottomLeft" state="frozen"/>
      <selection pane="bottomLeft" activeCell="G1" sqref="G1:H1"/>
    </sheetView>
  </sheetViews>
  <sheetFormatPr baseColWidth="10" defaultRowHeight="16" x14ac:dyDescent="0.2"/>
  <cols>
    <col min="1" max="1" width="3.1640625" customWidth="1"/>
    <col min="2" max="2" width="5.1640625" customWidth="1"/>
  </cols>
  <sheetData>
    <row r="1" spans="3:15" s="342" customFormat="1" ht="22" customHeight="1" x14ac:dyDescent="0.2">
      <c r="C1" s="551" t="s">
        <v>213</v>
      </c>
      <c r="D1" s="551"/>
      <c r="E1" s="341"/>
      <c r="G1" s="551" t="s">
        <v>245</v>
      </c>
      <c r="H1" s="551"/>
      <c r="I1" s="551"/>
      <c r="J1" s="551"/>
      <c r="K1" s="532"/>
      <c r="L1" s="532"/>
      <c r="M1" s="532"/>
      <c r="N1" s="532"/>
    </row>
    <row r="2" spans="3:15" s="4" customFormat="1" ht="12" customHeight="1" x14ac:dyDescent="0.2">
      <c r="C2" s="8"/>
      <c r="D2" s="356"/>
      <c r="E2" s="8"/>
    </row>
    <row r="3" spans="3:15" s="1" customFormat="1" ht="21" customHeight="1" x14ac:dyDescent="0.2">
      <c r="C3" s="556" t="s">
        <v>134</v>
      </c>
      <c r="D3" s="556"/>
      <c r="E3" s="556"/>
      <c r="F3"/>
      <c r="G3"/>
      <c r="H3"/>
      <c r="I3"/>
      <c r="J3"/>
      <c r="K3"/>
      <c r="L3"/>
      <c r="M3"/>
      <c r="N3"/>
      <c r="O3"/>
    </row>
    <row r="4" spans="3:15" s="1" customFormat="1" ht="21.75" customHeight="1" x14ac:dyDescent="0.2">
      <c r="C4" s="556"/>
      <c r="D4" s="556"/>
      <c r="E4" s="556"/>
      <c r="F4"/>
      <c r="G4"/>
      <c r="H4"/>
      <c r="I4"/>
      <c r="J4"/>
      <c r="K4"/>
      <c r="L4"/>
      <c r="M4"/>
      <c r="N4"/>
      <c r="O4"/>
    </row>
    <row r="6" spans="3:15" x14ac:dyDescent="0.2">
      <c r="C6" s="558" t="s">
        <v>249</v>
      </c>
      <c r="D6" s="558"/>
      <c r="E6" s="558"/>
    </row>
    <row r="7" spans="3:15" x14ac:dyDescent="0.2">
      <c r="C7" s="558"/>
      <c r="D7" s="558"/>
      <c r="E7" s="558"/>
    </row>
    <row r="9" spans="3:15" x14ac:dyDescent="0.2">
      <c r="C9" t="s">
        <v>250</v>
      </c>
      <c r="D9" t="s">
        <v>251</v>
      </c>
    </row>
    <row r="10" spans="3:15" x14ac:dyDescent="0.2">
      <c r="C10" t="s">
        <v>252</v>
      </c>
      <c r="D10" t="s">
        <v>253</v>
      </c>
    </row>
    <row r="11" spans="3:15" x14ac:dyDescent="0.2">
      <c r="C11" t="s">
        <v>254</v>
      </c>
      <c r="D11" t="s">
        <v>255</v>
      </c>
    </row>
    <row r="12" spans="3:15" x14ac:dyDescent="0.2">
      <c r="C12" t="s">
        <v>256</v>
      </c>
      <c r="D12" t="s">
        <v>257</v>
      </c>
    </row>
    <row r="13" spans="3:15" x14ac:dyDescent="0.2">
      <c r="C13" t="s">
        <v>258</v>
      </c>
      <c r="D13" t="s">
        <v>259</v>
      </c>
    </row>
    <row r="14" spans="3:15" x14ac:dyDescent="0.2">
      <c r="C14" t="s">
        <v>260</v>
      </c>
      <c r="D14" t="s">
        <v>261</v>
      </c>
    </row>
    <row r="15" spans="3:15" x14ac:dyDescent="0.2">
      <c r="C15" t="s">
        <v>262</v>
      </c>
      <c r="D15" t="s">
        <v>263</v>
      </c>
    </row>
    <row r="16" spans="3:15" x14ac:dyDescent="0.2">
      <c r="C16" t="s">
        <v>264</v>
      </c>
      <c r="D16" t="s">
        <v>265</v>
      </c>
    </row>
    <row r="17" spans="3:4" x14ac:dyDescent="0.2">
      <c r="C17" t="s">
        <v>266</v>
      </c>
      <c r="D17" t="s">
        <v>267</v>
      </c>
    </row>
    <row r="18" spans="3:4" x14ac:dyDescent="0.2">
      <c r="C18" t="s">
        <v>268</v>
      </c>
      <c r="D18" t="s">
        <v>269</v>
      </c>
    </row>
  </sheetData>
  <mergeCells count="5">
    <mergeCell ref="G1:H1"/>
    <mergeCell ref="I1:J1"/>
    <mergeCell ref="C3:E4"/>
    <mergeCell ref="C6:E7"/>
    <mergeCell ref="C1:D1"/>
  </mergeCells>
  <hyperlinks>
    <hyperlink ref="C1:D1" location="overall_quality_statement" tooltip="Back" display="⬅ Back To Summary  " xr:uid="{9E1AF772-D9F0-0342-91D9-2B8709439E4A}"/>
    <hyperlink ref="G1:H1" r:id="rId1" display="❓ Tool Guidance" xr:uid="{7674B583-D496-FC4F-851B-768C6CE0BDAA}"/>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56A00-8F3B-5D41-B55A-0098335EEAD1}">
  <sheetPr codeName="Stage"/>
  <dimension ref="A1:R153"/>
  <sheetViews>
    <sheetView showGridLines="0" showRowColHeaders="0" showZeros="0" topLeftCell="B1" zoomScaleNormal="100" workbookViewId="0">
      <pane ySplit="1" topLeftCell="A2" activePane="bottomLeft" state="frozen"/>
      <selection activeCell="B1" sqref="B1"/>
      <selection pane="bottomLeft" activeCell="O1" sqref="O1"/>
    </sheetView>
  </sheetViews>
  <sheetFormatPr baseColWidth="10" defaultColWidth="10.83203125" defaultRowHeight="18" x14ac:dyDescent="0.2"/>
  <cols>
    <col min="1" max="1" width="5.33203125" style="13" hidden="1" customWidth="1"/>
    <col min="2" max="2" width="1.83203125" style="1" customWidth="1"/>
    <col min="3" max="3" width="7.5" style="1" customWidth="1"/>
    <col min="4" max="4" width="36.33203125" style="1" customWidth="1"/>
    <col min="5" max="5" width="5.6640625" style="3" customWidth="1"/>
    <col min="6" max="6" width="54.33203125" style="187" bestFit="1" customWidth="1"/>
    <col min="7" max="7" width="4.1640625" style="213" customWidth="1"/>
    <col min="8" max="8" width="1.1640625" style="1" customWidth="1"/>
    <col min="9" max="12" width="5.6640625" style="16" customWidth="1"/>
    <col min="13" max="13" width="1" style="1" customWidth="1"/>
    <col min="14" max="14" width="24.1640625" style="1" customWidth="1"/>
    <col min="15" max="15" width="23.5" style="1" customWidth="1"/>
    <col min="16" max="16" width="3.6640625" style="1" customWidth="1"/>
    <col min="17" max="16384" width="10.83203125" style="1"/>
  </cols>
  <sheetData>
    <row r="1" spans="1:18" s="336" customFormat="1" ht="22" customHeight="1" x14ac:dyDescent="0.2">
      <c r="A1" s="335"/>
      <c r="C1" s="551" t="s">
        <v>213</v>
      </c>
      <c r="D1" s="551"/>
      <c r="E1" s="337"/>
      <c r="F1" s="338"/>
      <c r="G1" s="339"/>
      <c r="I1" s="340"/>
      <c r="J1" s="340"/>
      <c r="K1" s="340"/>
      <c r="L1" s="340"/>
      <c r="N1" s="532" t="s">
        <v>247</v>
      </c>
      <c r="O1" s="532" t="s">
        <v>248</v>
      </c>
      <c r="P1" s="532"/>
    </row>
    <row r="2" spans="1:18" s="4" customFormat="1" ht="6" customHeight="1" x14ac:dyDescent="0.2">
      <c r="A2" s="13" t="str">
        <f>IF(ActiveStage=ViewStage,"edit","lock")</f>
        <v>edit</v>
      </c>
      <c r="C2" s="8"/>
      <c r="D2" s="8"/>
      <c r="E2" s="8"/>
      <c r="F2" s="8"/>
      <c r="G2" s="212"/>
      <c r="I2" s="52"/>
      <c r="J2" s="52"/>
      <c r="K2" s="52"/>
      <c r="L2" s="52"/>
    </row>
    <row r="3" spans="1:18" s="4" customFormat="1" ht="20" customHeight="1" x14ac:dyDescent="0.2">
      <c r="A3" s="13"/>
      <c r="C3" s="450"/>
      <c r="D3" s="450"/>
      <c r="E3" s="450"/>
      <c r="F3" s="450"/>
      <c r="G3" s="450"/>
      <c r="I3" s="616"/>
      <c r="J3" s="616"/>
      <c r="K3" s="616"/>
      <c r="L3" s="616"/>
      <c r="N3" s="560" t="s">
        <v>239</v>
      </c>
      <c r="O3" s="560"/>
    </row>
    <row r="4" spans="1:18" s="4" customFormat="1" ht="20" customHeight="1" x14ac:dyDescent="0.2">
      <c r="A4" s="13"/>
      <c r="C4" s="562" t="s">
        <v>134</v>
      </c>
      <c r="D4" s="562"/>
      <c r="E4" s="450"/>
      <c r="F4" s="450"/>
      <c r="G4" s="450"/>
      <c r="I4" s="616"/>
      <c r="J4" s="616"/>
      <c r="K4" s="616"/>
      <c r="L4" s="616"/>
      <c r="N4" s="485" t="s">
        <v>218</v>
      </c>
      <c r="O4" s="485" t="s">
        <v>238</v>
      </c>
    </row>
    <row r="5" spans="1:18" s="4" customFormat="1" ht="20" customHeight="1" x14ac:dyDescent="0.3">
      <c r="A5" s="13"/>
      <c r="C5" s="562"/>
      <c r="D5" s="562"/>
      <c r="E5" s="483"/>
      <c r="F5" s="483"/>
      <c r="G5" s="483"/>
      <c r="I5" s="616" t="s">
        <v>155</v>
      </c>
      <c r="J5" s="616"/>
      <c r="K5" s="616"/>
      <c r="L5" s="616"/>
      <c r="N5" s="285"/>
      <c r="O5" s="285"/>
    </row>
    <row r="6" spans="1:18" ht="20" customHeight="1" x14ac:dyDescent="0.45">
      <c r="C6" s="15"/>
      <c r="D6" s="15"/>
      <c r="E6" s="15"/>
      <c r="F6" s="15"/>
      <c r="G6" s="15"/>
      <c r="H6" s="91"/>
      <c r="I6" s="616" t="s">
        <v>240</v>
      </c>
      <c r="J6" s="616"/>
      <c r="K6" s="616"/>
      <c r="L6" s="616"/>
      <c r="N6" s="286"/>
      <c r="O6" s="286"/>
    </row>
    <row r="7" spans="1:18" ht="20" customHeight="1" x14ac:dyDescent="0.45">
      <c r="C7" s="561" t="str">
        <f>"Stage " &amp; ViewStage &amp; " " &amp; INDEX(stageNames,1,ViewStage+1)</f>
        <v>Stage 0 Strategic Definition</v>
      </c>
      <c r="D7" s="561"/>
      <c r="E7" s="561"/>
      <c r="F7" s="561"/>
      <c r="G7" s="15"/>
      <c r="H7" s="91"/>
      <c r="I7" s="616" t="s">
        <v>156</v>
      </c>
      <c r="J7" s="616"/>
      <c r="K7" s="616"/>
      <c r="L7" s="616"/>
      <c r="N7" s="286"/>
      <c r="O7" s="286"/>
    </row>
    <row r="8" spans="1:18" ht="20" customHeight="1" x14ac:dyDescent="0.2">
      <c r="C8" s="561"/>
      <c r="D8" s="561"/>
      <c r="E8" s="561"/>
      <c r="F8" s="561"/>
      <c r="G8" s="91"/>
      <c r="H8" s="91"/>
      <c r="I8" s="616" t="s">
        <v>157</v>
      </c>
      <c r="J8" s="616"/>
      <c r="K8" s="616"/>
      <c r="L8" s="616"/>
      <c r="N8" s="287"/>
      <c r="O8" s="287"/>
    </row>
    <row r="9" spans="1:18" ht="20" customHeight="1" x14ac:dyDescent="0.2">
      <c r="A9" s="292" t="b">
        <f>OR(editmode="lock",ViewStage=0)</f>
        <v>1</v>
      </c>
      <c r="C9" s="601" t="s">
        <v>154</v>
      </c>
      <c r="D9" s="601"/>
      <c r="E9" s="484"/>
      <c r="F9" s="635" t="s">
        <v>237</v>
      </c>
      <c r="G9" s="91"/>
      <c r="H9" s="91"/>
      <c r="I9" s="53"/>
      <c r="J9" s="53"/>
      <c r="K9" s="53"/>
      <c r="L9" s="53"/>
      <c r="N9" s="293" t="str">
        <f>"copy details from Stage " &amp; ViewStage-1</f>
        <v>copy details from Stage -1</v>
      </c>
      <c r="O9" s="293"/>
    </row>
    <row r="10" spans="1:18" ht="10" customHeight="1" x14ac:dyDescent="0.2">
      <c r="C10" s="601"/>
      <c r="D10" s="601"/>
      <c r="E10" s="91"/>
      <c r="F10" s="635"/>
      <c r="G10" s="211"/>
      <c r="H10" s="91"/>
    </row>
    <row r="11" spans="1:18" ht="18" customHeight="1" x14ac:dyDescent="0.2">
      <c r="A11" s="530">
        <f>INDEX(AnswerCompletion,1,ActiveStage+1)</f>
        <v>26</v>
      </c>
      <c r="C11" s="612"/>
      <c r="D11" s="613"/>
      <c r="E11" s="529"/>
      <c r="F11" s="482"/>
      <c r="G11" s="211"/>
      <c r="H11" s="91"/>
      <c r="I11" s="614" t="str">
        <f>"Risk Status (" &amp; A11&amp;"/"&amp; VisibleIndicatorCount &amp;")"</f>
        <v>Risk Status (26/61)</v>
      </c>
      <c r="J11" s="614"/>
      <c r="K11" s="614"/>
      <c r="L11" s="614"/>
      <c r="M11" s="2"/>
      <c r="N11" s="209" t="s">
        <v>160</v>
      </c>
      <c r="O11" s="209"/>
    </row>
    <row r="12" spans="1:18" ht="14" customHeight="1" x14ac:dyDescent="0.2">
      <c r="I12" s="615" t="s">
        <v>141</v>
      </c>
      <c r="J12" s="615"/>
      <c r="K12" s="615"/>
      <c r="L12" s="615"/>
      <c r="N12" s="210" t="s">
        <v>140</v>
      </c>
      <c r="O12" s="210"/>
      <c r="P12" s="11"/>
      <c r="Q12" s="11"/>
      <c r="R12" s="11"/>
    </row>
    <row r="13" spans="1:18" ht="8.5" customHeight="1" x14ac:dyDescent="0.2">
      <c r="I13" s="10"/>
      <c r="J13" s="10"/>
      <c r="K13" s="12"/>
      <c r="L13" s="54"/>
      <c r="M13" s="2"/>
    </row>
    <row r="14" spans="1:18" s="2" customFormat="1" ht="20" customHeight="1" x14ac:dyDescent="0.2">
      <c r="A14" s="14">
        <f>INDEX(Answers,1,ViewStage+1)</f>
        <v>0</v>
      </c>
      <c r="C14" s="619" t="s">
        <v>124</v>
      </c>
      <c r="D14" s="621" t="s">
        <v>123</v>
      </c>
      <c r="E14" s="455" t="str">
        <f>INDEX(indicatorCodes,1,1)</f>
        <v>A1</v>
      </c>
      <c r="F14" s="456" t="str">
        <f>INDEX(indicators,1,1)</f>
        <v>Land is in possession of commissioning client</v>
      </c>
      <c r="G14" s="457"/>
      <c r="H14" s="458"/>
      <c r="I14" s="459" t="str">
        <f>INDEX(indicators,1,2)</f>
        <v>yes</v>
      </c>
      <c r="J14" s="460" t="str">
        <f>INDEX(indicators,1,3)</f>
        <v>partly</v>
      </c>
      <c r="K14" s="461" t="str">
        <f>INDEX(indicators,1,4)</f>
        <v>no</v>
      </c>
      <c r="L14" s="462" t="str">
        <f>INDEX(indicators,1,5)</f>
        <v>n/a</v>
      </c>
      <c r="M14" s="463"/>
      <c r="N14" s="602"/>
      <c r="O14" s="603"/>
    </row>
    <row r="15" spans="1:18" s="2" customFormat="1" ht="20" customHeight="1" x14ac:dyDescent="0.2">
      <c r="A15" s="14">
        <f>INDEX(Answers,2,ViewStage+1)</f>
        <v>0</v>
      </c>
      <c r="C15" s="620"/>
      <c r="D15" s="622"/>
      <c r="E15" s="464" t="str">
        <f>INDEX(indicatorCodes,2,1)</f>
        <v>A2</v>
      </c>
      <c r="F15" s="465" t="str">
        <f>INDEX(indicators,2,1)</f>
        <v>Client intends to deliver completed development</v>
      </c>
      <c r="G15" s="466"/>
      <c r="H15" s="189"/>
      <c r="I15" s="108" t="str">
        <f>INDEX(indicators,2,2)</f>
        <v>yes</v>
      </c>
      <c r="J15" s="467" t="str">
        <f>INDEX(indicators,2,3)</f>
        <v>partly</v>
      </c>
      <c r="K15" s="468" t="str">
        <f>INDEX(indicators,2,4)</f>
        <v>no</v>
      </c>
      <c r="L15" s="469" t="str">
        <f>INDEX(indicators,2,5)</f>
        <v>n/a</v>
      </c>
      <c r="M15" s="470"/>
      <c r="N15" s="595"/>
      <c r="O15" s="596"/>
    </row>
    <row r="16" spans="1:18" s="2" customFormat="1" ht="20" customHeight="1" x14ac:dyDescent="0.2">
      <c r="A16" s="14">
        <f>INDEX(Answers,3,ViewStage+1)</f>
        <v>0</v>
      </c>
      <c r="C16" s="606" t="s">
        <v>136</v>
      </c>
      <c r="D16" s="607"/>
      <c r="E16" s="464" t="str">
        <f>INDEX(indicatorCodes,3,1)</f>
        <v>A3</v>
      </c>
      <c r="F16" s="465" t="str">
        <f>INDEX(indicators,3,1)</f>
        <v>Client intends to own and operate the completed building</v>
      </c>
      <c r="G16" s="466"/>
      <c r="H16" s="189"/>
      <c r="I16" s="108" t="str">
        <f>INDEX(indicators,3,2)</f>
        <v>yes</v>
      </c>
      <c r="J16" s="467" t="str">
        <f>INDEX(indicators,3,3)</f>
        <v>partly</v>
      </c>
      <c r="K16" s="468" t="str">
        <f>INDEX(indicators,3,4)</f>
        <v>no</v>
      </c>
      <c r="L16" s="469" t="str">
        <f>INDEX(indicators,3,5)</f>
        <v>n/a</v>
      </c>
      <c r="M16" s="470"/>
      <c r="N16" s="595"/>
      <c r="O16" s="596"/>
    </row>
    <row r="17" spans="1:15" s="2" customFormat="1" ht="20" customHeight="1" x14ac:dyDescent="0.2">
      <c r="A17" s="14">
        <f>INDEX(Answers,4,ViewStage+1)</f>
        <v>0</v>
      </c>
      <c r="C17" s="606"/>
      <c r="D17" s="607"/>
      <c r="E17" s="464" t="str">
        <f>INDEX(indicatorCodes,4,1)</f>
        <v>A4</v>
      </c>
      <c r="F17" s="465" t="str">
        <f>INDEX(indicators,4,1)</f>
        <v>Clearly defined end users and target markets included in brief</v>
      </c>
      <c r="G17" s="466"/>
      <c r="H17" s="189"/>
      <c r="I17" s="108" t="str">
        <f>INDEX(indicators,4,2)</f>
        <v>yes</v>
      </c>
      <c r="J17" s="467" t="str">
        <f>INDEX(indicators,4,3)</f>
        <v>partly</v>
      </c>
      <c r="K17" s="468" t="str">
        <f>INDEX(indicators,4,4)</f>
        <v>no</v>
      </c>
      <c r="L17" s="469" t="str">
        <f>INDEX(indicators,4,5)</f>
        <v>n/a</v>
      </c>
      <c r="M17" s="470"/>
      <c r="N17" s="595"/>
      <c r="O17" s="596"/>
    </row>
    <row r="18" spans="1:15" s="2" customFormat="1" ht="20" customHeight="1" x14ac:dyDescent="0.2">
      <c r="A18" s="14">
        <f>INDEX(Answers,5,ViewStage+1)</f>
        <v>0</v>
      </c>
      <c r="C18" s="606"/>
      <c r="D18" s="607"/>
      <c r="E18" s="464" t="str">
        <f>INDEX(indicatorCodes,5,1)</f>
        <v>A5</v>
      </c>
      <c r="F18" s="465" t="str">
        <f>INDEX(indicators,5,1)</f>
        <v>All potential project stakeholders identified and engaged</v>
      </c>
      <c r="G18" s="466"/>
      <c r="H18" s="189"/>
      <c r="I18" s="108" t="str">
        <f>INDEX(indicators,5,2)</f>
        <v>yes</v>
      </c>
      <c r="J18" s="467" t="str">
        <f>INDEX(indicators,5,3)</f>
        <v>partly</v>
      </c>
      <c r="K18" s="468" t="str">
        <f>INDEX(indicators,5,4)</f>
        <v>no</v>
      </c>
      <c r="L18" s="469" t="str">
        <f>INDEX(indicators,5,5)</f>
        <v>n/a</v>
      </c>
      <c r="M18" s="470"/>
      <c r="N18" s="595"/>
      <c r="O18" s="596"/>
    </row>
    <row r="19" spans="1:15" s="2" customFormat="1" ht="20" customHeight="1" x14ac:dyDescent="0.2">
      <c r="A19" s="14">
        <f>INDEX(Answers,6,ViewStage+1)</f>
        <v>0</v>
      </c>
      <c r="C19" s="606"/>
      <c r="D19" s="607"/>
      <c r="E19" s="464" t="str">
        <f>INDEX(indicatorCodes,6,1)</f>
        <v>A6</v>
      </c>
      <c r="F19" s="465" t="str">
        <f>INDEX(indicators,6,1)</f>
        <v>Comprehensive design team appointed</v>
      </c>
      <c r="G19" s="466"/>
      <c r="H19" s="189"/>
      <c r="I19" s="108" t="str">
        <f>INDEX(indicators,6,2)</f>
        <v>yes</v>
      </c>
      <c r="J19" s="467" t="str">
        <f>INDEX(indicators,6,3)</f>
        <v>partly</v>
      </c>
      <c r="K19" s="468" t="str">
        <f>INDEX(indicators,6,4)</f>
        <v>no</v>
      </c>
      <c r="L19" s="469" t="str">
        <f>INDEX(indicators,6,5)</f>
        <v>n/a</v>
      </c>
      <c r="M19" s="470"/>
      <c r="N19" s="595"/>
      <c r="O19" s="596"/>
    </row>
    <row r="20" spans="1:15" s="2" customFormat="1" ht="20" customHeight="1" x14ac:dyDescent="0.2">
      <c r="A20" s="14">
        <f>INDEX(Answers,7,ViewStage+1)</f>
        <v>0</v>
      </c>
      <c r="C20" s="606"/>
      <c r="D20" s="607"/>
      <c r="E20" s="464" t="str">
        <f>INDEX(indicatorCodes,7,1)</f>
        <v>A7</v>
      </c>
      <c r="F20" s="465" t="str">
        <f>INDEX(indicators,7,1)</f>
        <v>Comprehensive background information supporting feasibility work</v>
      </c>
      <c r="G20" s="466"/>
      <c r="H20" s="189"/>
      <c r="I20" s="108" t="str">
        <f>INDEX(indicators,7,2)</f>
        <v>yes</v>
      </c>
      <c r="J20" s="467" t="str">
        <f>INDEX(indicators,7,3)</f>
        <v>partly</v>
      </c>
      <c r="K20" s="468" t="str">
        <f>INDEX(indicators,7,4)</f>
        <v>no</v>
      </c>
      <c r="L20" s="469" t="str">
        <f>INDEX(indicators,7,5)</f>
        <v>n/a</v>
      </c>
      <c r="M20" s="470"/>
      <c r="N20" s="595"/>
      <c r="O20" s="596"/>
    </row>
    <row r="21" spans="1:15" s="2" customFormat="1" ht="20" customHeight="1" x14ac:dyDescent="0.2">
      <c r="A21" s="14">
        <f>INDEX(Answers,8,ViewStage+1)</f>
        <v>0</v>
      </c>
      <c r="C21" s="606"/>
      <c r="D21" s="607"/>
      <c r="E21" s="464" t="str">
        <f>INDEX(indicatorCodes,8,1)</f>
        <v>A8</v>
      </c>
      <c r="F21" s="465" t="str">
        <f>INDEX(indicators,8,1)</f>
        <v>High confidence of obtaining planning approval</v>
      </c>
      <c r="G21" s="466"/>
      <c r="H21" s="189"/>
      <c r="I21" s="108" t="str">
        <f>INDEX(indicators,8,2)</f>
        <v>yes</v>
      </c>
      <c r="J21" s="467" t="str">
        <f>INDEX(indicators,8,3)</f>
        <v>partly</v>
      </c>
      <c r="K21" s="468" t="str">
        <f>INDEX(indicators,8,4)</f>
        <v>no</v>
      </c>
      <c r="L21" s="469" t="str">
        <f>INDEX(indicators,8,5)</f>
        <v>n/a</v>
      </c>
      <c r="M21" s="470"/>
      <c r="N21" s="595"/>
      <c r="O21" s="596"/>
    </row>
    <row r="22" spans="1:15" s="2" customFormat="1" ht="20" customHeight="1" x14ac:dyDescent="0.2">
      <c r="A22" s="14">
        <f>INDEX(Answers,9,ViewStage+1)</f>
        <v>0</v>
      </c>
      <c r="C22" s="606"/>
      <c r="D22" s="607"/>
      <c r="E22" s="464" t="str">
        <f>INDEX(indicatorCodes,9,1)</f>
        <v>A9</v>
      </c>
      <c r="F22" s="465" t="str">
        <f>INDEX(indicators,9,1)</f>
        <v>Planning application submitted at which RIBA workstage?</v>
      </c>
      <c r="G22" s="466"/>
      <c r="H22" s="189"/>
      <c r="I22" s="108" t="str">
        <f>INDEX(indicators,9,2)</f>
        <v>End St 3</v>
      </c>
      <c r="J22" s="467" t="str">
        <f>INDEX(indicators,9,3)</f>
        <v>Mid St 3</v>
      </c>
      <c r="K22" s="468" t="str">
        <f>INDEX(indicators,9,4)</f>
        <v>St 2</v>
      </c>
      <c r="L22" s="469" t="str">
        <f>INDEX(indicators,9,5)</f>
        <v>n/a</v>
      </c>
      <c r="M22" s="470"/>
      <c r="N22" s="595"/>
      <c r="O22" s="596"/>
    </row>
    <row r="23" spans="1:15" s="2" customFormat="1" ht="20" customHeight="1" x14ac:dyDescent="0.2">
      <c r="A23" s="14">
        <f>INDEX(Answers,10,ViewStage+1)</f>
        <v>4</v>
      </c>
      <c r="C23" s="199"/>
      <c r="D23" s="200"/>
      <c r="E23" s="464" t="str">
        <f>INDEX(indicatorCodes,10,1)</f>
        <v>A10</v>
      </c>
      <c r="F23" s="465" t="str">
        <f>INDEX(indicators,10,1)</f>
        <v>All significant planning conditions have been discharged</v>
      </c>
      <c r="G23" s="466"/>
      <c r="H23" s="189"/>
      <c r="I23" s="108" t="str">
        <f>INDEX(indicators,10,2)</f>
        <v>yes</v>
      </c>
      <c r="J23" s="467" t="str">
        <f>INDEX(indicators,10,3)</f>
        <v>partly</v>
      </c>
      <c r="K23" s="468" t="str">
        <f>INDEX(indicators,10,4)</f>
        <v>no</v>
      </c>
      <c r="L23" s="469" t="str">
        <f>INDEX(indicators,10,5)</f>
        <v>n/a</v>
      </c>
      <c r="M23" s="470"/>
      <c r="N23" s="595"/>
      <c r="O23" s="596"/>
    </row>
    <row r="24" spans="1:15" s="2" customFormat="1" ht="20" customHeight="1" x14ac:dyDescent="0.2">
      <c r="A24" s="14">
        <f>INDEX(Answers,11,ViewStage+1)</f>
        <v>0</v>
      </c>
      <c r="C24" s="199"/>
      <c r="D24" s="200"/>
      <c r="E24" s="464" t="str">
        <f>INDEX(indicatorCodes,11,1)</f>
        <v>A11</v>
      </c>
      <c r="F24" s="465" t="str">
        <f>INDEX(indicators,11,1)</f>
        <v>Clearly defined sustainability objectives</v>
      </c>
      <c r="G24" s="466"/>
      <c r="H24" s="189"/>
      <c r="I24" s="108" t="str">
        <f>INDEX(indicators,11,2)</f>
        <v>yes</v>
      </c>
      <c r="J24" s="467" t="str">
        <f>INDEX(indicators,11,3)</f>
        <v>partly</v>
      </c>
      <c r="K24" s="468" t="str">
        <f>INDEX(indicators,11,4)</f>
        <v>no</v>
      </c>
      <c r="L24" s="469" t="str">
        <f>INDEX(indicators,11,5)</f>
        <v>n/a</v>
      </c>
      <c r="M24" s="470"/>
      <c r="N24" s="595"/>
      <c r="O24" s="596"/>
    </row>
    <row r="25" spans="1:15" s="2" customFormat="1" ht="20" customHeight="1" x14ac:dyDescent="0.2">
      <c r="A25" s="14">
        <f>INDEX(Answers,12,ViewStage+1)</f>
        <v>4</v>
      </c>
      <c r="C25" s="199"/>
      <c r="D25" s="200"/>
      <c r="E25" s="464" t="str">
        <f>INDEX(indicatorCodes,12,1)</f>
        <v>A12</v>
      </c>
      <c r="F25" s="465" t="str">
        <f>INDEX(indicators,12,1)</f>
        <v>Fire safety analysis carried out</v>
      </c>
      <c r="G25" s="466"/>
      <c r="H25" s="189"/>
      <c r="I25" s="108" t="str">
        <f>INDEX(indicators,12,2)</f>
        <v>yes</v>
      </c>
      <c r="J25" s="467" t="str">
        <f>INDEX(indicators,12,3)</f>
        <v>partly</v>
      </c>
      <c r="K25" s="468" t="str">
        <f>INDEX(indicators,12,4)</f>
        <v>no</v>
      </c>
      <c r="L25" s="469" t="str">
        <f>INDEX(indicators,12,5)</f>
        <v>n/a</v>
      </c>
      <c r="M25" s="470"/>
      <c r="N25" s="595"/>
      <c r="O25" s="596"/>
    </row>
    <row r="26" spans="1:15" s="2" customFormat="1" ht="20" hidden="1" customHeight="1" x14ac:dyDescent="0.45">
      <c r="A26" s="14">
        <f>INDEX(Answers,13,ViewStage+1)</f>
        <v>0</v>
      </c>
      <c r="C26" s="56"/>
      <c r="D26" s="57"/>
      <c r="E26" s="464" t="str">
        <f>INDEX(indicatorCodes,13,1)</f>
        <v>A13</v>
      </c>
      <c r="F26" s="471">
        <f>INDEX(indicators,13,1)</f>
        <v>0</v>
      </c>
      <c r="G26" s="472" t="s">
        <v>152</v>
      </c>
      <c r="H26" s="189"/>
      <c r="I26" s="108" t="str">
        <f>INDEX(indicators,13,2)</f>
        <v>yes</v>
      </c>
      <c r="J26" s="467" t="str">
        <f>INDEX(indicators,13,3)</f>
        <v>partly</v>
      </c>
      <c r="K26" s="468" t="str">
        <f>INDEX(indicators,13,4)</f>
        <v>no</v>
      </c>
      <c r="L26" s="469" t="str">
        <f>INDEX(indicators,13,5)</f>
        <v>n/a</v>
      </c>
      <c r="M26" s="470"/>
      <c r="N26" s="595"/>
      <c r="O26" s="596"/>
    </row>
    <row r="27" spans="1:15" s="2" customFormat="1" ht="20" hidden="1" customHeight="1" x14ac:dyDescent="0.45">
      <c r="A27" s="14">
        <f>INDEX(Answers,14,ViewStage+1)</f>
        <v>0</v>
      </c>
      <c r="C27" s="56"/>
      <c r="D27" s="57"/>
      <c r="E27" s="464" t="str">
        <f>INDEX(indicatorCodes,14,1)</f>
        <v>A14</v>
      </c>
      <c r="F27" s="465">
        <f>INDEX(indicators,14,1)</f>
        <v>0</v>
      </c>
      <c r="G27" s="472" t="s">
        <v>152</v>
      </c>
      <c r="H27" s="189"/>
      <c r="I27" s="108" t="str">
        <f>INDEX(indicators,14,2)</f>
        <v>yes</v>
      </c>
      <c r="J27" s="467" t="str">
        <f>INDEX(indicators,14,3)</f>
        <v>partly</v>
      </c>
      <c r="K27" s="468" t="str">
        <f>INDEX(indicators,14,4)</f>
        <v>no</v>
      </c>
      <c r="L27" s="469" t="str">
        <f>INDEX(indicators,14,5)</f>
        <v>n/a</v>
      </c>
      <c r="M27" s="470"/>
      <c r="N27" s="595"/>
      <c r="O27" s="596"/>
    </row>
    <row r="28" spans="1:15" s="2" customFormat="1" ht="20" hidden="1" customHeight="1" x14ac:dyDescent="0.45">
      <c r="A28" s="14">
        <f>INDEX(Answers,15,ViewStage+1)</f>
        <v>0</v>
      </c>
      <c r="C28" s="56"/>
      <c r="D28" s="57"/>
      <c r="E28" s="464" t="str">
        <f>INDEX(indicatorCodes,15,1)</f>
        <v>A15</v>
      </c>
      <c r="F28" s="465">
        <f>INDEX(indicators,15,1)</f>
        <v>0</v>
      </c>
      <c r="G28" s="472" t="s">
        <v>152</v>
      </c>
      <c r="H28" s="189"/>
      <c r="I28" s="108" t="str">
        <f>INDEX(indicators,15,2)</f>
        <v>yes</v>
      </c>
      <c r="J28" s="467" t="str">
        <f>INDEX(indicators,15,3)</f>
        <v>partly</v>
      </c>
      <c r="K28" s="468" t="str">
        <f>INDEX(indicators,15,4)</f>
        <v>no</v>
      </c>
      <c r="L28" s="469" t="str">
        <f>INDEX(indicators,15,5)</f>
        <v>n/a</v>
      </c>
      <c r="M28" s="470"/>
      <c r="N28" s="595"/>
      <c r="O28" s="596"/>
    </row>
    <row r="29" spans="1:15" s="2" customFormat="1" ht="20" hidden="1" customHeight="1" x14ac:dyDescent="0.45">
      <c r="A29" s="14">
        <f>INDEX(Answers,16,ViewStage+1)</f>
        <v>0</v>
      </c>
      <c r="C29" s="56"/>
      <c r="D29" s="57"/>
      <c r="E29" s="464" t="str">
        <f>INDEX(indicatorCodes,16,1)</f>
        <v>A16</v>
      </c>
      <c r="F29" s="465">
        <f>INDEX(indicators,16,1)</f>
        <v>0</v>
      </c>
      <c r="G29" s="472" t="s">
        <v>152</v>
      </c>
      <c r="H29" s="189"/>
      <c r="I29" s="108" t="str">
        <f>INDEX(indicators,16,2)</f>
        <v>yes</v>
      </c>
      <c r="J29" s="467" t="str">
        <f>INDEX(indicators,16,3)</f>
        <v>partly</v>
      </c>
      <c r="K29" s="468" t="str">
        <f>INDEX(indicators,16,4)</f>
        <v>no</v>
      </c>
      <c r="L29" s="469" t="str">
        <f>INDEX(indicators,16,5)</f>
        <v>n/a</v>
      </c>
      <c r="M29" s="470"/>
      <c r="N29" s="595"/>
      <c r="O29" s="596"/>
    </row>
    <row r="30" spans="1:15" s="2" customFormat="1" ht="20" hidden="1" customHeight="1" x14ac:dyDescent="0.2">
      <c r="A30" s="14">
        <f>INDEX(Answers,17,ViewStage+1)</f>
        <v>0</v>
      </c>
      <c r="C30" s="58"/>
      <c r="D30" s="59"/>
      <c r="E30" s="464" t="str">
        <f>INDEX(indicatorCodes,17,1)</f>
        <v>A17</v>
      </c>
      <c r="F30" s="465">
        <f>INDEX(indicators,17,1)</f>
        <v>0</v>
      </c>
      <c r="G30" s="472" t="s">
        <v>152</v>
      </c>
      <c r="H30" s="189"/>
      <c r="I30" s="108" t="str">
        <f>INDEX(indicators,17,2)</f>
        <v>yes</v>
      </c>
      <c r="J30" s="467" t="str">
        <f>INDEX(indicators,17,3)</f>
        <v>partly</v>
      </c>
      <c r="K30" s="468" t="str">
        <f>INDEX(indicators,17,4)</f>
        <v>no</v>
      </c>
      <c r="L30" s="469" t="str">
        <f>INDEX(indicators,17,5)</f>
        <v>n/a</v>
      </c>
      <c r="M30" s="470"/>
      <c r="N30" s="595"/>
      <c r="O30" s="596"/>
    </row>
    <row r="31" spans="1:15" s="2" customFormat="1" ht="20" hidden="1" customHeight="1" x14ac:dyDescent="0.2">
      <c r="A31" s="14">
        <f>INDEX(Answers,18,ViewStage+1)</f>
        <v>0</v>
      </c>
      <c r="C31" s="58"/>
      <c r="D31" s="59"/>
      <c r="E31" s="464" t="str">
        <f>INDEX(indicatorCodes,18,1)</f>
        <v>A18</v>
      </c>
      <c r="F31" s="465">
        <f>INDEX(indicators,18,1)</f>
        <v>0</v>
      </c>
      <c r="G31" s="472" t="s">
        <v>152</v>
      </c>
      <c r="H31" s="189"/>
      <c r="I31" s="108" t="str">
        <f>INDEX(indicators,18,2)</f>
        <v>yes</v>
      </c>
      <c r="J31" s="467" t="str">
        <f>INDEX(indicators,18,3)</f>
        <v>partly</v>
      </c>
      <c r="K31" s="468" t="str">
        <f>INDEX(indicators,18,4)</f>
        <v>no</v>
      </c>
      <c r="L31" s="469" t="str">
        <f>INDEX(indicators,18,5)</f>
        <v>n/a</v>
      </c>
      <c r="M31" s="470"/>
      <c r="N31" s="595"/>
      <c r="O31" s="596"/>
    </row>
    <row r="32" spans="1:15" s="2" customFormat="1" ht="20" hidden="1" customHeight="1" x14ac:dyDescent="0.2">
      <c r="A32" s="14">
        <f>INDEX(Answers,19,ViewStage+1)</f>
        <v>0</v>
      </c>
      <c r="C32" s="58"/>
      <c r="D32" s="59"/>
      <c r="E32" s="464" t="str">
        <f>INDEX(indicatorCodes,19,1)</f>
        <v>A19</v>
      </c>
      <c r="F32" s="465">
        <f>INDEX(indicators,19,1)</f>
        <v>0</v>
      </c>
      <c r="G32" s="472" t="s">
        <v>152</v>
      </c>
      <c r="H32" s="189"/>
      <c r="I32" s="108" t="str">
        <f>INDEX(indicators,19,2)</f>
        <v>yes</v>
      </c>
      <c r="J32" s="467" t="str">
        <f>INDEX(indicators,19,3)</f>
        <v>partly</v>
      </c>
      <c r="K32" s="468" t="str">
        <f>INDEX(indicators,19,4)</f>
        <v>no</v>
      </c>
      <c r="L32" s="469" t="str">
        <f>INDEX(indicators,19,5)</f>
        <v>n/a</v>
      </c>
      <c r="M32" s="470"/>
      <c r="N32" s="595"/>
      <c r="O32" s="596"/>
    </row>
    <row r="33" spans="1:15" s="2" customFormat="1" ht="20" hidden="1" customHeight="1" x14ac:dyDescent="0.2">
      <c r="A33" s="14">
        <f>INDEX(Answers,20,ViewStage+1)</f>
        <v>0</v>
      </c>
      <c r="C33" s="60"/>
      <c r="D33" s="61"/>
      <c r="E33" s="473" t="str">
        <f>INDEX(indicatorCodes,20,1)</f>
        <v>A20</v>
      </c>
      <c r="F33" s="474">
        <f>INDEX(indicators,20,1)</f>
        <v>0</v>
      </c>
      <c r="G33" s="475" t="s">
        <v>152</v>
      </c>
      <c r="H33" s="476"/>
      <c r="I33" s="477" t="str">
        <f>INDEX(indicators,20,2)</f>
        <v>yes</v>
      </c>
      <c r="J33" s="478" t="str">
        <f>INDEX(indicators,20,3)</f>
        <v>partly</v>
      </c>
      <c r="K33" s="479" t="str">
        <f>INDEX(indicators,20,4)</f>
        <v>no</v>
      </c>
      <c r="L33" s="480" t="str">
        <f>INDEX(indicators,20,5)</f>
        <v>n/a</v>
      </c>
      <c r="M33" s="481"/>
      <c r="N33" s="599"/>
      <c r="O33" s="600"/>
    </row>
    <row r="34" spans="1:15" s="271" customFormat="1" ht="30" customHeight="1" x14ac:dyDescent="0.2">
      <c r="A34" s="270">
        <f>INDEX(Answers,21,ViewStage+1)</f>
        <v>0</v>
      </c>
      <c r="C34" s="251"/>
      <c r="D34" s="251"/>
      <c r="E34" s="249">
        <f>INDEX(indicatorCodes,21,1)</f>
        <v>0</v>
      </c>
      <c r="F34" s="275" t="s">
        <v>203</v>
      </c>
      <c r="G34" s="250"/>
      <c r="H34" s="251"/>
      <c r="I34" s="252"/>
      <c r="J34" s="253"/>
      <c r="K34" s="254"/>
      <c r="L34" s="255"/>
      <c r="M34" s="251"/>
      <c r="N34" s="288"/>
      <c r="O34" s="288"/>
    </row>
    <row r="35" spans="1:15" ht="20" hidden="1" customHeight="1" x14ac:dyDescent="0.2">
      <c r="A35" s="14">
        <f>INDEX(Answers,22,ViewStage+1)</f>
        <v>0</v>
      </c>
      <c r="E35" s="97">
        <f>INDEX(indicatorCodes,22,1)</f>
        <v>0</v>
      </c>
      <c r="F35" s="92">
        <f>INDEX(indicators,22,1)</f>
        <v>0</v>
      </c>
      <c r="G35" s="214"/>
      <c r="H35" s="17"/>
      <c r="I35" s="93"/>
      <c r="J35" s="94"/>
      <c r="K35" s="95"/>
      <c r="L35" s="96"/>
      <c r="M35" s="17"/>
      <c r="N35" s="289"/>
      <c r="O35" s="289"/>
    </row>
    <row r="36" spans="1:15" ht="20" customHeight="1" x14ac:dyDescent="0.2">
      <c r="A36" s="14">
        <f>INDEX(Answers,23,ViewStage+1)</f>
        <v>4</v>
      </c>
      <c r="C36" s="625" t="s">
        <v>204</v>
      </c>
      <c r="D36" s="623" t="s">
        <v>209</v>
      </c>
      <c r="E36" s="98" t="str">
        <f>INDEX(indicatorCodes,23,1)</f>
        <v>B1</v>
      </c>
      <c r="F36" s="188" t="str">
        <f>INDEX(indicators,23,1)</f>
        <v>OpEx carries significant weighting in tender scoring</v>
      </c>
      <c r="G36" s="215"/>
      <c r="H36" s="100"/>
      <c r="I36" s="101" t="str">
        <f>INDEX(indicators,23,2)</f>
        <v>yes</v>
      </c>
      <c r="J36" s="102" t="str">
        <f>INDEX(indicators,23,3)</f>
        <v>partly</v>
      </c>
      <c r="K36" s="103" t="str">
        <f>INDEX(indicators,23,4)</f>
        <v>no</v>
      </c>
      <c r="L36" s="104" t="str">
        <f>INDEX(indicators,23,5)</f>
        <v>n/a</v>
      </c>
      <c r="M36" s="99"/>
      <c r="N36" s="597"/>
      <c r="O36" s="598"/>
    </row>
    <row r="37" spans="1:15" ht="20" customHeight="1" x14ac:dyDescent="0.2">
      <c r="A37" s="14">
        <f>INDEX(Answers,24,ViewStage+1)</f>
        <v>0</v>
      </c>
      <c r="C37" s="626"/>
      <c r="D37" s="624"/>
      <c r="E37" s="105" t="str">
        <f>INDEX(indicatorCodes,24,1)</f>
        <v>B2</v>
      </c>
      <c r="F37" s="189" t="str">
        <f>INDEX(indicators,24,1)</f>
        <v>Clerk of Works / independent inspector will be appointed</v>
      </c>
      <c r="G37" s="216"/>
      <c r="H37" s="107"/>
      <c r="I37" s="108" t="str">
        <f>INDEX(indicators,24,2)</f>
        <v>yes</v>
      </c>
      <c r="J37" s="109" t="str">
        <f>INDEX(indicators,24,3)</f>
        <v>partly</v>
      </c>
      <c r="K37" s="110" t="str">
        <f>INDEX(indicators,24,4)</f>
        <v>no</v>
      </c>
      <c r="L37" s="111" t="str">
        <f>INDEX(indicators,24,5)</f>
        <v>n/a</v>
      </c>
      <c r="M37" s="106"/>
      <c r="N37" s="587"/>
      <c r="O37" s="588"/>
    </row>
    <row r="38" spans="1:15" ht="20" customHeight="1" x14ac:dyDescent="0.2">
      <c r="A38" s="14">
        <f>INDEX(Answers,25,ViewStage+1)</f>
        <v>4</v>
      </c>
      <c r="C38" s="642" t="s">
        <v>232</v>
      </c>
      <c r="D38" s="643"/>
      <c r="E38" s="105" t="str">
        <f>INDEX(indicatorCodes,25,1)</f>
        <v>B3</v>
      </c>
      <c r="F38" s="189" t="str">
        <f>INDEX(indicators,25,1)</f>
        <v>Soft landings process implemented</v>
      </c>
      <c r="G38" s="216"/>
      <c r="H38" s="107"/>
      <c r="I38" s="108" t="str">
        <f>INDEX(indicators,25,2)</f>
        <v>yes</v>
      </c>
      <c r="J38" s="109" t="str">
        <f>INDEX(indicators,25,3)</f>
        <v>partly</v>
      </c>
      <c r="K38" s="110" t="str">
        <f>INDEX(indicators,25,4)</f>
        <v>no</v>
      </c>
      <c r="L38" s="111" t="str">
        <f>INDEX(indicators,25,5)</f>
        <v>n/a</v>
      </c>
      <c r="M38" s="106"/>
      <c r="N38" s="587"/>
      <c r="O38" s="588"/>
    </row>
    <row r="39" spans="1:15" ht="20" customHeight="1" x14ac:dyDescent="0.2">
      <c r="A39" s="14">
        <f>INDEX(Answers,26,ViewStage+1)</f>
        <v>4</v>
      </c>
      <c r="C39" s="642"/>
      <c r="D39" s="643"/>
      <c r="E39" s="105" t="str">
        <f>INDEX(indicatorCodes,26,1)</f>
        <v>B4</v>
      </c>
      <c r="F39" s="189" t="str">
        <f>INDEX(indicators,26,1)</f>
        <v>Warranty provider has active role in materials selection</v>
      </c>
      <c r="G39" s="216"/>
      <c r="H39" s="107"/>
      <c r="I39" s="108" t="str">
        <f>INDEX(indicators,26,2)</f>
        <v>yes</v>
      </c>
      <c r="J39" s="109" t="str">
        <f>INDEX(indicators,26,3)</f>
        <v>partly</v>
      </c>
      <c r="K39" s="110" t="str">
        <f>INDEX(indicators,26,4)</f>
        <v>no</v>
      </c>
      <c r="L39" s="111" t="str">
        <f>INDEX(indicators,26,5)</f>
        <v>n/a</v>
      </c>
      <c r="M39" s="106"/>
      <c r="N39" s="587"/>
      <c r="O39" s="588"/>
    </row>
    <row r="40" spans="1:15" ht="20" customHeight="1" x14ac:dyDescent="0.2">
      <c r="A40" s="14">
        <f>INDEX(Answers,27,ViewStage+1)</f>
        <v>4</v>
      </c>
      <c r="C40" s="642"/>
      <c r="D40" s="643"/>
      <c r="E40" s="105" t="str">
        <f>INDEX(indicatorCodes,27,1)</f>
        <v>B5</v>
      </c>
      <c r="F40" s="189" t="str">
        <f>INDEX(indicators,27,1)</f>
        <v>As-built works and materials conform to Building Control approved drawings</v>
      </c>
      <c r="G40" s="216"/>
      <c r="H40" s="107"/>
      <c r="I40" s="108" t="str">
        <f>INDEX(indicators,27,2)</f>
        <v>yes</v>
      </c>
      <c r="J40" s="109" t="str">
        <f>INDEX(indicators,27,3)</f>
        <v>partly</v>
      </c>
      <c r="K40" s="110" t="str">
        <f>INDEX(indicators,27,4)</f>
        <v>no</v>
      </c>
      <c r="L40" s="111" t="str">
        <f>INDEX(indicators,27,5)</f>
        <v>n/a</v>
      </c>
      <c r="M40" s="106"/>
      <c r="N40" s="587"/>
      <c r="O40" s="588"/>
    </row>
    <row r="41" spans="1:15" ht="20" customHeight="1" x14ac:dyDescent="0.2">
      <c r="A41" s="14">
        <f>INDEX(Answers,28,ViewStage+1)</f>
        <v>4</v>
      </c>
      <c r="C41" s="642"/>
      <c r="D41" s="643"/>
      <c r="E41" s="105" t="str">
        <f>INDEX(indicatorCodes,28,1)</f>
        <v>B6</v>
      </c>
      <c r="F41" s="189" t="str">
        <f>INDEX(indicators,28,1)</f>
        <v>FM team active in design decisions and commissioning process</v>
      </c>
      <c r="G41" s="216"/>
      <c r="H41" s="107"/>
      <c r="I41" s="108" t="str">
        <f>INDEX(indicators,28,2)</f>
        <v>yes</v>
      </c>
      <c r="J41" s="109" t="str">
        <f>INDEX(indicators,28,3)</f>
        <v>partly</v>
      </c>
      <c r="K41" s="110" t="str">
        <f>INDEX(indicators,28,4)</f>
        <v>no</v>
      </c>
      <c r="L41" s="111" t="str">
        <f>INDEX(indicators,28,5)</f>
        <v>n/a</v>
      </c>
      <c r="M41" s="106"/>
      <c r="N41" s="587"/>
      <c r="O41" s="588"/>
    </row>
    <row r="42" spans="1:15" ht="20" customHeight="1" x14ac:dyDescent="0.2">
      <c r="A42" s="14">
        <f>INDEX(Answers,29,ViewStage+1)</f>
        <v>4</v>
      </c>
      <c r="C42" s="642"/>
      <c r="D42" s="643"/>
      <c r="E42" s="105" t="str">
        <f>INDEX(indicatorCodes,29,1)</f>
        <v>B7</v>
      </c>
      <c r="F42" s="189" t="str">
        <f>INDEX(indicators,29,1)</f>
        <v>FM team involved in POE process</v>
      </c>
      <c r="G42" s="216"/>
      <c r="H42" s="107"/>
      <c r="I42" s="108" t="str">
        <f>INDEX(indicators,29,2)</f>
        <v>yes</v>
      </c>
      <c r="J42" s="109" t="str">
        <f>INDEX(indicators,29,3)</f>
        <v>partly</v>
      </c>
      <c r="K42" s="110" t="str">
        <f>INDEX(indicators,29,4)</f>
        <v>no</v>
      </c>
      <c r="L42" s="111" t="str">
        <f>INDEX(indicators,29,5)</f>
        <v>n/a</v>
      </c>
      <c r="M42" s="106"/>
      <c r="N42" s="587"/>
      <c r="O42" s="588"/>
    </row>
    <row r="43" spans="1:15" ht="20" customHeight="1" x14ac:dyDescent="0.2">
      <c r="A43" s="14">
        <f>INDEX(Answers,30,ViewStage+1)</f>
        <v>4</v>
      </c>
      <c r="C43" s="642"/>
      <c r="D43" s="643"/>
      <c r="E43" s="105" t="str">
        <f>INDEX(indicatorCodes,30,1)</f>
        <v>B8</v>
      </c>
      <c r="F43" s="189" t="str">
        <f>INDEX(indicators,30,1)</f>
        <v>POE includes user / occupier satisfaction survey</v>
      </c>
      <c r="G43" s="216"/>
      <c r="H43" s="107"/>
      <c r="I43" s="108" t="str">
        <f>INDEX(indicators,30,2)</f>
        <v>yes</v>
      </c>
      <c r="J43" s="109" t="str">
        <f>INDEX(indicators,30,3)</f>
        <v>partly</v>
      </c>
      <c r="K43" s="110" t="str">
        <f>INDEX(indicators,30,4)</f>
        <v>no</v>
      </c>
      <c r="L43" s="111" t="str">
        <f>INDEX(indicators,30,5)</f>
        <v>n/a</v>
      </c>
      <c r="M43" s="106"/>
      <c r="N43" s="587"/>
      <c r="O43" s="588"/>
    </row>
    <row r="44" spans="1:15" ht="20" customHeight="1" x14ac:dyDescent="0.2">
      <c r="A44" s="14">
        <f>INDEX(Answers,31,ViewStage+1)</f>
        <v>4</v>
      </c>
      <c r="C44" s="642"/>
      <c r="D44" s="643"/>
      <c r="E44" s="105" t="str">
        <f>INDEX(indicatorCodes,31,1)</f>
        <v>B9</v>
      </c>
      <c r="F44" s="189" t="str">
        <f>INDEX(indicators,31,1)</f>
        <v>POE feedback acted upon</v>
      </c>
      <c r="G44" s="216"/>
      <c r="H44" s="107"/>
      <c r="I44" s="108" t="str">
        <f>INDEX(indicators,31,2)</f>
        <v>yes</v>
      </c>
      <c r="J44" s="109" t="str">
        <f>INDEX(indicators,31,3)</f>
        <v>partly</v>
      </c>
      <c r="K44" s="110" t="str">
        <f>INDEX(indicators,31,4)</f>
        <v>no</v>
      </c>
      <c r="L44" s="111" t="str">
        <f>INDEX(indicators,31,5)</f>
        <v>n/a</v>
      </c>
      <c r="M44" s="106"/>
      <c r="N44" s="587"/>
      <c r="O44" s="588"/>
    </row>
    <row r="45" spans="1:15" ht="20" customHeight="1" x14ac:dyDescent="0.2">
      <c r="A45" s="14">
        <f>INDEX(Answers,32,ViewStage+1)</f>
        <v>4</v>
      </c>
      <c r="C45" s="201"/>
      <c r="D45" s="202"/>
      <c r="E45" s="105" t="str">
        <f>INDEX(indicatorCodes,32,1)</f>
        <v>B10</v>
      </c>
      <c r="F45" s="189" t="str">
        <f>INDEX(indicators,32,1)</f>
        <v>Defects rectified and validated</v>
      </c>
      <c r="G45" s="216"/>
      <c r="H45" s="107"/>
      <c r="I45" s="108" t="str">
        <f>INDEX(indicators,32,2)</f>
        <v>yes</v>
      </c>
      <c r="J45" s="109" t="str">
        <f>INDEX(indicators,32,3)</f>
        <v>partly</v>
      </c>
      <c r="K45" s="110" t="str">
        <f>INDEX(indicators,32,4)</f>
        <v>no</v>
      </c>
      <c r="L45" s="111" t="str">
        <f>INDEX(indicators,32,5)</f>
        <v>n/a</v>
      </c>
      <c r="M45" s="106"/>
      <c r="N45" s="587"/>
      <c r="O45" s="588"/>
    </row>
    <row r="46" spans="1:15" ht="20" customHeight="1" x14ac:dyDescent="0.2">
      <c r="A46" s="14">
        <f>INDEX(Answers,33,ViewStage+1)</f>
        <v>0</v>
      </c>
      <c r="C46" s="201"/>
      <c r="D46" s="202"/>
      <c r="E46" s="105" t="str">
        <f>INDEX(indicatorCodes,33,1)</f>
        <v>B11</v>
      </c>
      <c r="F46" s="189" t="str">
        <f>INDEX(indicators,33,1)</f>
        <v>Exercise conducted on lessons learned from previous projects</v>
      </c>
      <c r="G46" s="216"/>
      <c r="H46" s="107"/>
      <c r="I46" s="108" t="str">
        <f>INDEX(indicators,33,2)</f>
        <v>yes</v>
      </c>
      <c r="J46" s="109" t="str">
        <f>INDEX(indicators,33,3)</f>
        <v>partly</v>
      </c>
      <c r="K46" s="110" t="str">
        <f>INDEX(indicators,33,4)</f>
        <v>no</v>
      </c>
      <c r="L46" s="111" t="str">
        <f>INDEX(indicators,33,5)</f>
        <v>n/a</v>
      </c>
      <c r="M46" s="106"/>
      <c r="N46" s="587"/>
      <c r="O46" s="588"/>
    </row>
    <row r="47" spans="1:15" ht="20" customHeight="1" x14ac:dyDescent="0.2">
      <c r="A47" s="14">
        <f>INDEX(Answers,34,ViewStage+1)</f>
        <v>0</v>
      </c>
      <c r="C47" s="201"/>
      <c r="D47" s="202"/>
      <c r="E47" s="105" t="str">
        <f>INDEX(indicatorCodes,34,1)</f>
        <v>B12</v>
      </c>
      <c r="F47" s="189" t="str">
        <f>INDEX(indicators,34,1)</f>
        <v>H&amp;S issues identified and mitigated</v>
      </c>
      <c r="G47" s="216"/>
      <c r="H47" s="107"/>
      <c r="I47" s="108" t="str">
        <f>INDEX(indicators,34,2)</f>
        <v>yes</v>
      </c>
      <c r="J47" s="109" t="str">
        <f>INDEX(indicators,34,3)</f>
        <v>partly</v>
      </c>
      <c r="K47" s="110" t="str">
        <f>INDEX(indicators,34,4)</f>
        <v>no</v>
      </c>
      <c r="L47" s="111" t="str">
        <f>INDEX(indicators,34,5)</f>
        <v>n/a</v>
      </c>
      <c r="M47" s="106"/>
      <c r="N47" s="587"/>
      <c r="O47" s="588"/>
    </row>
    <row r="48" spans="1:15" ht="20" hidden="1" customHeight="1" x14ac:dyDescent="0.45">
      <c r="A48" s="14">
        <f>INDEX(Answers,35,ViewStage+1)</f>
        <v>0</v>
      </c>
      <c r="C48" s="62"/>
      <c r="D48" s="63"/>
      <c r="E48" s="105" t="str">
        <f>INDEX(indicatorCodes,35,1)</f>
        <v>B13</v>
      </c>
      <c r="F48" s="189">
        <f>INDEX(indicators,35,1)</f>
        <v>0</v>
      </c>
      <c r="G48" s="217" t="s">
        <v>152</v>
      </c>
      <c r="H48" s="107"/>
      <c r="I48" s="108" t="str">
        <f>INDEX(indicators,35,2)</f>
        <v>yes</v>
      </c>
      <c r="J48" s="109" t="str">
        <f>INDEX(indicators,35,3)</f>
        <v>partly</v>
      </c>
      <c r="K48" s="110" t="str">
        <f>INDEX(indicators,35,4)</f>
        <v>no</v>
      </c>
      <c r="L48" s="111" t="str">
        <f>INDEX(indicators,35,5)</f>
        <v>n/a</v>
      </c>
      <c r="M48" s="106"/>
      <c r="N48" s="587"/>
      <c r="O48" s="588"/>
    </row>
    <row r="49" spans="1:15" ht="20" hidden="1" customHeight="1" x14ac:dyDescent="0.45">
      <c r="A49" s="14">
        <f>INDEX(Answers,36,ViewStage+1)</f>
        <v>0</v>
      </c>
      <c r="C49" s="62"/>
      <c r="D49" s="63"/>
      <c r="E49" s="105" t="str">
        <f>INDEX(indicatorCodes,36,1)</f>
        <v>B14</v>
      </c>
      <c r="F49" s="189">
        <f>INDEX(indicators,36,1)</f>
        <v>0</v>
      </c>
      <c r="G49" s="217" t="s">
        <v>152</v>
      </c>
      <c r="H49" s="107"/>
      <c r="I49" s="108" t="str">
        <f>INDEX(indicators,36,2)</f>
        <v>yes</v>
      </c>
      <c r="J49" s="109" t="str">
        <f>INDEX(indicators,36,3)</f>
        <v>partly</v>
      </c>
      <c r="K49" s="110" t="str">
        <f>INDEX(indicators,36,4)</f>
        <v>no</v>
      </c>
      <c r="L49" s="111" t="str">
        <f>INDEX(indicators,36,5)</f>
        <v>n/a</v>
      </c>
      <c r="M49" s="106"/>
      <c r="N49" s="587"/>
      <c r="O49" s="588"/>
    </row>
    <row r="50" spans="1:15" ht="20" hidden="1" customHeight="1" x14ac:dyDescent="0.45">
      <c r="A50" s="14">
        <f>INDEX(Answers,37,ViewStage+1)</f>
        <v>0</v>
      </c>
      <c r="C50" s="62"/>
      <c r="D50" s="63"/>
      <c r="E50" s="105" t="str">
        <f>INDEX(indicatorCodes,37,1)</f>
        <v>B15</v>
      </c>
      <c r="F50" s="189">
        <f>INDEX(indicators,37,1)</f>
        <v>0</v>
      </c>
      <c r="G50" s="217" t="s">
        <v>152</v>
      </c>
      <c r="H50" s="107"/>
      <c r="I50" s="108" t="str">
        <f>INDEX(indicators,37,2)</f>
        <v>yes</v>
      </c>
      <c r="J50" s="109" t="str">
        <f>INDEX(indicators,37,3)</f>
        <v>partly</v>
      </c>
      <c r="K50" s="110" t="str">
        <f>INDEX(indicators,37,4)</f>
        <v>no</v>
      </c>
      <c r="L50" s="111" t="str">
        <f>INDEX(indicators,37,5)</f>
        <v>n/a</v>
      </c>
      <c r="M50" s="106"/>
      <c r="N50" s="587"/>
      <c r="O50" s="588"/>
    </row>
    <row r="51" spans="1:15" ht="20" hidden="1" customHeight="1" x14ac:dyDescent="0.45">
      <c r="A51" s="14">
        <f>INDEX(Answers,38,ViewStage+1)</f>
        <v>0</v>
      </c>
      <c r="C51" s="62"/>
      <c r="D51" s="63"/>
      <c r="E51" s="105" t="str">
        <f>INDEX(indicatorCodes,38,1)</f>
        <v>B16</v>
      </c>
      <c r="F51" s="189">
        <f>INDEX(indicators,38,1)</f>
        <v>0</v>
      </c>
      <c r="G51" s="217" t="s">
        <v>152</v>
      </c>
      <c r="H51" s="107"/>
      <c r="I51" s="108" t="str">
        <f>INDEX(indicators,38,2)</f>
        <v>yes</v>
      </c>
      <c r="J51" s="109" t="str">
        <f>INDEX(indicators,38,3)</f>
        <v>partly</v>
      </c>
      <c r="K51" s="110" t="str">
        <f>INDEX(indicators,38,4)</f>
        <v>no</v>
      </c>
      <c r="L51" s="111" t="str">
        <f>INDEX(indicators,38,5)</f>
        <v>n/a</v>
      </c>
      <c r="M51" s="106"/>
      <c r="N51" s="587"/>
      <c r="O51" s="588"/>
    </row>
    <row r="52" spans="1:15" ht="20" hidden="1" customHeight="1" x14ac:dyDescent="0.2">
      <c r="A52" s="14">
        <f>INDEX(Answers,39,ViewStage+1)</f>
        <v>0</v>
      </c>
      <c r="C52" s="64"/>
      <c r="D52" s="65"/>
      <c r="E52" s="105" t="str">
        <f>INDEX(indicatorCodes,39,1)</f>
        <v>B17</v>
      </c>
      <c r="F52" s="189">
        <f>INDEX(indicators,39,1)</f>
        <v>0</v>
      </c>
      <c r="G52" s="217" t="s">
        <v>152</v>
      </c>
      <c r="H52" s="107"/>
      <c r="I52" s="108" t="str">
        <f>INDEX(indicators,39,2)</f>
        <v>yes</v>
      </c>
      <c r="J52" s="109" t="str">
        <f>INDEX(indicators,39,3)</f>
        <v>partly</v>
      </c>
      <c r="K52" s="110" t="str">
        <f>INDEX(indicators,39,4)</f>
        <v>no</v>
      </c>
      <c r="L52" s="111" t="str">
        <f>INDEX(indicators,39,5)</f>
        <v>n/a</v>
      </c>
      <c r="M52" s="106"/>
      <c r="N52" s="587"/>
      <c r="O52" s="588"/>
    </row>
    <row r="53" spans="1:15" ht="20" hidden="1" customHeight="1" x14ac:dyDescent="0.2">
      <c r="A53" s="14">
        <f>INDEX(Answers,40,ViewStage+1)</f>
        <v>0</v>
      </c>
      <c r="C53" s="64"/>
      <c r="D53" s="65"/>
      <c r="E53" s="105" t="str">
        <f>INDEX(indicatorCodes,40,1)</f>
        <v>B18</v>
      </c>
      <c r="F53" s="189">
        <f>INDEX(indicators,40,1)</f>
        <v>0</v>
      </c>
      <c r="G53" s="217" t="s">
        <v>152</v>
      </c>
      <c r="H53" s="107"/>
      <c r="I53" s="108" t="str">
        <f>INDEX(indicators,40,2)</f>
        <v>yes</v>
      </c>
      <c r="J53" s="109" t="str">
        <f>INDEX(indicators,40,3)</f>
        <v>partly</v>
      </c>
      <c r="K53" s="110" t="str">
        <f>INDEX(indicators,40,4)</f>
        <v>no</v>
      </c>
      <c r="L53" s="111" t="str">
        <f>INDEX(indicators,40,5)</f>
        <v>n/a</v>
      </c>
      <c r="M53" s="106"/>
      <c r="N53" s="587"/>
      <c r="O53" s="588"/>
    </row>
    <row r="54" spans="1:15" ht="20" hidden="1" customHeight="1" x14ac:dyDescent="0.2">
      <c r="A54" s="14">
        <f>INDEX(Answers,41,ViewStage+1)</f>
        <v>0</v>
      </c>
      <c r="C54" s="64"/>
      <c r="D54" s="65"/>
      <c r="E54" s="105" t="str">
        <f>INDEX(indicatorCodes,41,1)</f>
        <v>B19</v>
      </c>
      <c r="F54" s="189">
        <f>INDEX(indicators,41,1)</f>
        <v>0</v>
      </c>
      <c r="G54" s="217" t="s">
        <v>152</v>
      </c>
      <c r="H54" s="107"/>
      <c r="I54" s="108" t="str">
        <f>INDEX(indicators,41,2)</f>
        <v>yes</v>
      </c>
      <c r="J54" s="109" t="str">
        <f>INDEX(indicators,41,3)</f>
        <v>partly</v>
      </c>
      <c r="K54" s="110" t="str">
        <f>INDEX(indicators,41,4)</f>
        <v>no</v>
      </c>
      <c r="L54" s="111" t="str">
        <f>INDEX(indicators,41,5)</f>
        <v>n/a</v>
      </c>
      <c r="M54" s="106"/>
      <c r="N54" s="587"/>
      <c r="O54" s="588"/>
    </row>
    <row r="55" spans="1:15" ht="20" hidden="1" customHeight="1" x14ac:dyDescent="0.2">
      <c r="A55" s="14">
        <f>INDEX(Answers,42,ViewStage+1)</f>
        <v>0</v>
      </c>
      <c r="C55" s="66"/>
      <c r="D55" s="67"/>
      <c r="E55" s="112" t="str">
        <f>INDEX(indicatorCodes,42,1)</f>
        <v>B20</v>
      </c>
      <c r="F55" s="190">
        <f>INDEX(indicators,42,1)</f>
        <v>0</v>
      </c>
      <c r="G55" s="218" t="s">
        <v>152</v>
      </c>
      <c r="H55" s="113"/>
      <c r="I55" s="114" t="str">
        <f>INDEX(indicators,42,2)</f>
        <v>yes</v>
      </c>
      <c r="J55" s="115" t="str">
        <f>INDEX(indicators,42,3)</f>
        <v>partly</v>
      </c>
      <c r="K55" s="116" t="str">
        <f>INDEX(indicators,42,4)</f>
        <v>no</v>
      </c>
      <c r="L55" s="117" t="str">
        <f>INDEX(indicators,42,5)</f>
        <v>n/a</v>
      </c>
      <c r="M55" s="118"/>
      <c r="N55" s="589"/>
      <c r="O55" s="590"/>
    </row>
    <row r="56" spans="1:15" s="271" customFormat="1" ht="30" customHeight="1" x14ac:dyDescent="0.2">
      <c r="A56" s="270">
        <f>INDEX(Answers,43,ViewStage+1)</f>
        <v>0</v>
      </c>
      <c r="C56" s="258"/>
      <c r="D56" s="258"/>
      <c r="E56" s="256">
        <f>INDEX(indicatorCodes,43,1)</f>
        <v>0</v>
      </c>
      <c r="F56" s="276" t="s">
        <v>203</v>
      </c>
      <c r="G56" s="257"/>
      <c r="H56" s="258"/>
      <c r="I56" s="259"/>
      <c r="J56" s="260"/>
      <c r="K56" s="261"/>
      <c r="L56" s="262"/>
      <c r="M56" s="258"/>
      <c r="N56" s="290"/>
      <c r="O56" s="290"/>
    </row>
    <row r="57" spans="1:15" ht="20" hidden="1" customHeight="1" x14ac:dyDescent="0.2">
      <c r="A57" s="14">
        <f>INDEX(Answers,44,ViewStage+1)</f>
        <v>0</v>
      </c>
      <c r="E57" s="97">
        <f>INDEX(indicatorCodes,44,1)</f>
        <v>0</v>
      </c>
      <c r="F57" s="92">
        <f>INDEX(indicators,44,1)</f>
        <v>0</v>
      </c>
      <c r="G57" s="214"/>
      <c r="H57" s="17"/>
      <c r="I57" s="93"/>
      <c r="J57" s="94"/>
      <c r="K57" s="95"/>
      <c r="L57" s="96"/>
      <c r="M57" s="17"/>
      <c r="N57" s="289"/>
      <c r="O57" s="289"/>
    </row>
    <row r="58" spans="1:15" ht="20" customHeight="1" x14ac:dyDescent="0.2">
      <c r="A58" s="14">
        <f>INDEX(Answers,45,ViewStage+1)</f>
        <v>0</v>
      </c>
      <c r="C58" s="627" t="s">
        <v>205</v>
      </c>
      <c r="D58" s="629" t="s">
        <v>210</v>
      </c>
      <c r="E58" s="119" t="str">
        <f>INDEX(indicatorCodes,45,1)</f>
        <v>C1</v>
      </c>
      <c r="F58" s="191" t="str">
        <f>INDEX(indicators,45,1)</f>
        <v>Client's budget can accommodate cost increases if it adds value</v>
      </c>
      <c r="G58" s="219"/>
      <c r="H58" s="121"/>
      <c r="I58" s="122" t="str">
        <f>INDEX(indicators,45,2)</f>
        <v>yes</v>
      </c>
      <c r="J58" s="123" t="str">
        <f>INDEX(indicators,45,3)</f>
        <v>partly</v>
      </c>
      <c r="K58" s="124" t="str">
        <f>INDEX(indicators,45,4)</f>
        <v>no</v>
      </c>
      <c r="L58" s="125" t="str">
        <f>INDEX(indicators,45,5)</f>
        <v>n/a</v>
      </c>
      <c r="M58" s="120"/>
      <c r="N58" s="610"/>
      <c r="O58" s="611"/>
    </row>
    <row r="59" spans="1:15" ht="20" customHeight="1" x14ac:dyDescent="0.2">
      <c r="A59" s="14">
        <f>INDEX(Answers,46,ViewStage+1)</f>
        <v>0</v>
      </c>
      <c r="C59" s="628"/>
      <c r="D59" s="630"/>
      <c r="E59" s="126" t="str">
        <f>INDEX(indicatorCodes,46,1)</f>
        <v>C2</v>
      </c>
      <c r="F59" s="189" t="str">
        <f>INDEX(indicators,46,1)</f>
        <v>Project costs calculated cautiously per sqm and within budget</v>
      </c>
      <c r="G59" s="220"/>
      <c r="H59" s="128"/>
      <c r="I59" s="108" t="str">
        <f>INDEX(indicators,46,2)</f>
        <v>yes</v>
      </c>
      <c r="J59" s="109" t="str">
        <f>INDEX(indicators,46,3)</f>
        <v>partly</v>
      </c>
      <c r="K59" s="110" t="str">
        <f>INDEX(indicators,46,4)</f>
        <v>no</v>
      </c>
      <c r="L59" s="111" t="str">
        <f>INDEX(indicators,46,5)</f>
        <v>n/a</v>
      </c>
      <c r="M59" s="127"/>
      <c r="N59" s="583"/>
      <c r="O59" s="584"/>
    </row>
    <row r="60" spans="1:15" ht="20" customHeight="1" x14ac:dyDescent="0.2">
      <c r="A60" s="14">
        <f>INDEX(Answers,47,ViewStage+1)</f>
        <v>0</v>
      </c>
      <c r="C60" s="608" t="s">
        <v>236</v>
      </c>
      <c r="D60" s="609"/>
      <c r="E60" s="126" t="str">
        <f>INDEX(indicatorCodes,47,1)</f>
        <v>C3</v>
      </c>
      <c r="F60" s="189" t="str">
        <f>INDEX(indicators,47,1)</f>
        <v>Budget has been benchmarked against appropriate quality</v>
      </c>
      <c r="G60" s="220"/>
      <c r="H60" s="128"/>
      <c r="I60" s="108" t="str">
        <f>INDEX(indicators,47,2)</f>
        <v>yes</v>
      </c>
      <c r="J60" s="109" t="str">
        <f>INDEX(indicators,47,3)</f>
        <v>partly</v>
      </c>
      <c r="K60" s="110" t="str">
        <f>INDEX(indicators,47,4)</f>
        <v>no</v>
      </c>
      <c r="L60" s="111" t="str">
        <f>INDEX(indicators,47,5)</f>
        <v>n/a</v>
      </c>
      <c r="M60" s="127"/>
      <c r="N60" s="583"/>
      <c r="O60" s="584"/>
    </row>
    <row r="61" spans="1:15" ht="20" customHeight="1" x14ac:dyDescent="0.2">
      <c r="A61" s="14">
        <f>INDEX(Answers,48,ViewStage+1)</f>
        <v>4</v>
      </c>
      <c r="C61" s="608"/>
      <c r="D61" s="609"/>
      <c r="E61" s="126" t="str">
        <f>INDEX(indicatorCodes,48,1)</f>
        <v>C4</v>
      </c>
      <c r="F61" s="189" t="str">
        <f>INDEX(indicators,48,1)</f>
        <v>Adjustable Contract Sum (no GMP or NTE clauses)</v>
      </c>
      <c r="G61" s="220"/>
      <c r="H61" s="128"/>
      <c r="I61" s="108" t="str">
        <f>INDEX(indicators,48,2)</f>
        <v>yes</v>
      </c>
      <c r="J61" s="109" t="str">
        <f>INDEX(indicators,48,3)</f>
        <v>partly</v>
      </c>
      <c r="K61" s="110" t="str">
        <f>INDEX(indicators,48,4)</f>
        <v>no</v>
      </c>
      <c r="L61" s="111" t="str">
        <f>INDEX(indicators,48,5)</f>
        <v>n/a</v>
      </c>
      <c r="M61" s="127"/>
      <c r="N61" s="583"/>
      <c r="O61" s="584"/>
    </row>
    <row r="62" spans="1:15" ht="20" customHeight="1" x14ac:dyDescent="0.2">
      <c r="A62" s="14">
        <f>INDEX(Answers,49,ViewStage+1)</f>
        <v>4</v>
      </c>
      <c r="C62" s="608"/>
      <c r="D62" s="609"/>
      <c r="E62" s="126" t="str">
        <f>INDEX(indicatorCodes,49,1)</f>
        <v>C5</v>
      </c>
      <c r="F62" s="189" t="str">
        <f>INDEX(indicators,49,1)</f>
        <v>ERs name products and materials in specification</v>
      </c>
      <c r="G62" s="220"/>
      <c r="H62" s="128"/>
      <c r="I62" s="108" t="str">
        <f>INDEX(indicators,49,2)</f>
        <v>yes</v>
      </c>
      <c r="J62" s="109" t="str">
        <f>INDEX(indicators,49,3)</f>
        <v>partly</v>
      </c>
      <c r="K62" s="110" t="str">
        <f>INDEX(indicators,49,4)</f>
        <v>no</v>
      </c>
      <c r="L62" s="111" t="str">
        <f>INDEX(indicators,49,5)</f>
        <v>n/a</v>
      </c>
      <c r="M62" s="127"/>
      <c r="N62" s="583"/>
      <c r="O62" s="584"/>
    </row>
    <row r="63" spans="1:15" ht="20" customHeight="1" x14ac:dyDescent="0.2">
      <c r="A63" s="14">
        <f>INDEX(Answers,50,ViewStage+1)</f>
        <v>0</v>
      </c>
      <c r="C63" s="608"/>
      <c r="D63" s="609"/>
      <c r="E63" s="126" t="str">
        <f>INDEX(indicatorCodes,50,1)</f>
        <v>C6</v>
      </c>
      <c r="F63" s="189" t="str">
        <f>INDEX(indicators,50,1)</f>
        <v>Provisional sums constitute insignificant proportion of total budget</v>
      </c>
      <c r="G63" s="220"/>
      <c r="H63" s="128"/>
      <c r="I63" s="108" t="str">
        <f>INDEX(indicators,50,2)</f>
        <v>yes</v>
      </c>
      <c r="J63" s="109" t="str">
        <f>INDEX(indicators,50,3)</f>
        <v>partly</v>
      </c>
      <c r="K63" s="110" t="str">
        <f>INDEX(indicators,50,4)</f>
        <v>no</v>
      </c>
      <c r="L63" s="111" t="str">
        <f>INDEX(indicators,50,5)</f>
        <v>n/a</v>
      </c>
      <c r="M63" s="127"/>
      <c r="N63" s="583"/>
      <c r="O63" s="584"/>
    </row>
    <row r="64" spans="1:15" ht="20" customHeight="1" x14ac:dyDescent="0.2">
      <c r="A64" s="14">
        <f>INDEX(Answers,51,ViewStage+1)</f>
        <v>4</v>
      </c>
      <c r="C64" s="608"/>
      <c r="D64" s="609"/>
      <c r="E64" s="126" t="str">
        <f>INDEX(indicatorCodes,51,1)</f>
        <v>C7</v>
      </c>
      <c r="F64" s="189" t="str">
        <f>INDEX(indicators,51,1)</f>
        <v>Tenders are invited to make suitable allowance for contingencies</v>
      </c>
      <c r="G64" s="220"/>
      <c r="H64" s="128"/>
      <c r="I64" s="108" t="str">
        <f>INDEX(indicators,51,2)</f>
        <v>yes</v>
      </c>
      <c r="J64" s="109" t="str">
        <f>INDEX(indicators,51,3)</f>
        <v>partly</v>
      </c>
      <c r="K64" s="110" t="str">
        <f>INDEX(indicators,51,4)</f>
        <v>no</v>
      </c>
      <c r="L64" s="111" t="str">
        <f>INDEX(indicators,51,5)</f>
        <v>n/a</v>
      </c>
      <c r="M64" s="127"/>
      <c r="N64" s="583"/>
      <c r="O64" s="584"/>
    </row>
    <row r="65" spans="1:15" ht="20" customHeight="1" x14ac:dyDescent="0.2">
      <c r="A65" s="14">
        <f>INDEX(Answers,52,ViewStage+1)</f>
        <v>4</v>
      </c>
      <c r="C65" s="608"/>
      <c r="D65" s="609"/>
      <c r="E65" s="126" t="str">
        <f>INDEX(indicatorCodes,52,1)</f>
        <v>C8</v>
      </c>
      <c r="F65" s="189" t="str">
        <f>INDEX(indicators,52,1)</f>
        <v>OpEx budget allowed for initial life of building (1-3 years)</v>
      </c>
      <c r="G65" s="220"/>
      <c r="H65" s="128"/>
      <c r="I65" s="108" t="str">
        <f>INDEX(indicators,52,2)</f>
        <v>yes</v>
      </c>
      <c r="J65" s="109" t="str">
        <f>INDEX(indicators,52,3)</f>
        <v>partly</v>
      </c>
      <c r="K65" s="110" t="str">
        <f>INDEX(indicators,52,4)</f>
        <v>no</v>
      </c>
      <c r="L65" s="111" t="str">
        <f>INDEX(indicators,52,5)</f>
        <v>n/a</v>
      </c>
      <c r="M65" s="127"/>
      <c r="N65" s="583"/>
      <c r="O65" s="584"/>
    </row>
    <row r="66" spans="1:15" ht="20" customHeight="1" x14ac:dyDescent="0.2">
      <c r="A66" s="14">
        <f>INDEX(Answers,53,ViewStage+1)</f>
        <v>4</v>
      </c>
      <c r="C66" s="608"/>
      <c r="D66" s="609"/>
      <c r="E66" s="126" t="str">
        <f>INDEX(indicatorCodes,53,1)</f>
        <v>C9</v>
      </c>
      <c r="F66" s="189" t="str">
        <f>INDEX(indicators,53,1)</f>
        <v>OpEx for initial life of building (1-3 years) within budget</v>
      </c>
      <c r="G66" s="220"/>
      <c r="H66" s="128"/>
      <c r="I66" s="108" t="str">
        <f>INDEX(indicators,53,2)</f>
        <v>yes</v>
      </c>
      <c r="J66" s="109" t="str">
        <f>INDEX(indicators,53,3)</f>
        <v>partly</v>
      </c>
      <c r="K66" s="110" t="str">
        <f>INDEX(indicators,53,4)</f>
        <v>no</v>
      </c>
      <c r="L66" s="111" t="str">
        <f>INDEX(indicators,53,5)</f>
        <v>n/a</v>
      </c>
      <c r="M66" s="127"/>
      <c r="N66" s="583"/>
      <c r="O66" s="584"/>
    </row>
    <row r="67" spans="1:15" ht="20" customHeight="1" x14ac:dyDescent="0.2">
      <c r="A67" s="14">
        <f>INDEX(Answers,54,ViewStage+1)</f>
        <v>4</v>
      </c>
      <c r="C67" s="283"/>
      <c r="D67" s="284"/>
      <c r="E67" s="126" t="str">
        <f>INDEX(indicatorCodes,54,1)</f>
        <v>C10</v>
      </c>
      <c r="F67" s="189" t="str">
        <f>INDEX(indicators,54,1)</f>
        <v>Contingency budget allowed for early teething problems (1-3 years)</v>
      </c>
      <c r="G67" s="220"/>
      <c r="H67" s="128"/>
      <c r="I67" s="108" t="str">
        <f>INDEX(indicators,54,2)</f>
        <v>yes</v>
      </c>
      <c r="J67" s="109" t="str">
        <f>INDEX(indicators,54,3)</f>
        <v>partly</v>
      </c>
      <c r="K67" s="110" t="str">
        <f>INDEX(indicators,54,4)</f>
        <v>no</v>
      </c>
      <c r="L67" s="111" t="str">
        <f>INDEX(indicators,54,5)</f>
        <v>n/a</v>
      </c>
      <c r="M67" s="127"/>
      <c r="N67" s="583"/>
      <c r="O67" s="584"/>
    </row>
    <row r="68" spans="1:15" ht="20" customHeight="1" x14ac:dyDescent="0.2">
      <c r="A68" s="14">
        <f>INDEX(Answers,55,ViewStage+1)</f>
        <v>4</v>
      </c>
      <c r="C68" s="281"/>
      <c r="D68" s="282"/>
      <c r="E68" s="126" t="str">
        <f>INDEX(indicatorCodes,55,1)</f>
        <v>C11</v>
      </c>
      <c r="F68" s="189" t="str">
        <f>INDEX(indicators,55,1)</f>
        <v>Cost of early teething problems within budget</v>
      </c>
      <c r="G68" s="220"/>
      <c r="H68" s="128"/>
      <c r="I68" s="108" t="str">
        <f>INDEX(indicators,55,2)</f>
        <v>yes</v>
      </c>
      <c r="J68" s="109" t="str">
        <f>INDEX(indicators,55,3)</f>
        <v>partly</v>
      </c>
      <c r="K68" s="110" t="str">
        <f>INDEX(indicators,55,4)</f>
        <v>no</v>
      </c>
      <c r="L68" s="111" t="str">
        <f>INDEX(indicators,55,5)</f>
        <v>n/a</v>
      </c>
      <c r="M68" s="127"/>
      <c r="N68" s="583"/>
      <c r="O68" s="584"/>
    </row>
    <row r="69" spans="1:15" ht="20" customHeight="1" x14ac:dyDescent="0.2">
      <c r="A69" s="14">
        <f>INDEX(Answers,56,ViewStage+1)</f>
        <v>4</v>
      </c>
      <c r="C69" s="281"/>
      <c r="D69" s="282"/>
      <c r="E69" s="126" t="str">
        <f>INDEX(indicatorCodes,56,1)</f>
        <v>C12</v>
      </c>
      <c r="F69" s="189" t="str">
        <f>INDEX(indicators,56,1)</f>
        <v>Design gap analysis completed for this stage (refer to checklist)</v>
      </c>
      <c r="G69" s="220"/>
      <c r="H69" s="128"/>
      <c r="I69" s="108" t="str">
        <f>INDEX(indicators,56,2)</f>
        <v>yes</v>
      </c>
      <c r="J69" s="109" t="str">
        <f>INDEX(indicators,56,3)</f>
        <v>partly</v>
      </c>
      <c r="K69" s="110" t="str">
        <f>INDEX(indicators,56,4)</f>
        <v>no</v>
      </c>
      <c r="L69" s="111" t="str">
        <f>INDEX(indicators,56,5)</f>
        <v>n/a</v>
      </c>
      <c r="M69" s="127"/>
      <c r="N69" s="583"/>
      <c r="O69" s="584"/>
    </row>
    <row r="70" spans="1:15" ht="20" hidden="1" customHeight="1" x14ac:dyDescent="0.45">
      <c r="A70" s="14">
        <f>INDEX(Answers,57,ViewStage+1)</f>
        <v>0</v>
      </c>
      <c r="C70" s="68"/>
      <c r="D70" s="75"/>
      <c r="E70" s="126" t="str">
        <f>INDEX(indicatorCodes,57,1)</f>
        <v>C13</v>
      </c>
      <c r="F70" s="189">
        <f>INDEX(indicators,57,1)</f>
        <v>0</v>
      </c>
      <c r="G70" s="221" t="s">
        <v>152</v>
      </c>
      <c r="H70" s="128"/>
      <c r="I70" s="108" t="str">
        <f>INDEX(indicators,57,2)</f>
        <v>yes</v>
      </c>
      <c r="J70" s="109" t="str">
        <f>INDEX(indicators,57,3)</f>
        <v>partly</v>
      </c>
      <c r="K70" s="110" t="str">
        <f>INDEX(indicators,57,4)</f>
        <v>no</v>
      </c>
      <c r="L70" s="111" t="str">
        <f>INDEX(indicators,57,5)</f>
        <v>n/a</v>
      </c>
      <c r="M70" s="127"/>
      <c r="N70" s="583"/>
      <c r="O70" s="584"/>
    </row>
    <row r="71" spans="1:15" ht="20" hidden="1" customHeight="1" x14ac:dyDescent="0.45">
      <c r="A71" s="14">
        <f>INDEX(Answers,58,ViewStage+1)</f>
        <v>0</v>
      </c>
      <c r="C71" s="68"/>
      <c r="D71" s="75"/>
      <c r="E71" s="126" t="str">
        <f>INDEX(indicatorCodes,58,1)</f>
        <v>C14</v>
      </c>
      <c r="F71" s="189">
        <f>INDEX(indicators,58,1)</f>
        <v>0</v>
      </c>
      <c r="G71" s="221" t="s">
        <v>152</v>
      </c>
      <c r="H71" s="128"/>
      <c r="I71" s="108" t="str">
        <f>INDEX(indicators,58,2)</f>
        <v>yes</v>
      </c>
      <c r="J71" s="109" t="str">
        <f>INDEX(indicators,58,3)</f>
        <v>partly</v>
      </c>
      <c r="K71" s="110" t="str">
        <f>INDEX(indicators,58,4)</f>
        <v>no</v>
      </c>
      <c r="L71" s="111" t="str">
        <f>INDEX(indicators,58,5)</f>
        <v>n/a</v>
      </c>
      <c r="M71" s="127"/>
      <c r="N71" s="583"/>
      <c r="O71" s="584"/>
    </row>
    <row r="72" spans="1:15" ht="20" hidden="1" customHeight="1" x14ac:dyDescent="0.45">
      <c r="A72" s="14">
        <f>INDEX(Answers,59,ViewStage+1)</f>
        <v>0</v>
      </c>
      <c r="C72" s="68"/>
      <c r="D72" s="75"/>
      <c r="E72" s="126" t="str">
        <f>INDEX(indicatorCodes,59,1)</f>
        <v>C15</v>
      </c>
      <c r="F72" s="189">
        <f>INDEX(indicators,59,1)</f>
        <v>0</v>
      </c>
      <c r="G72" s="221" t="s">
        <v>152</v>
      </c>
      <c r="H72" s="128"/>
      <c r="I72" s="108" t="str">
        <f>INDEX(indicators,59,2)</f>
        <v>yes</v>
      </c>
      <c r="J72" s="109" t="str">
        <f>INDEX(indicators,59,3)</f>
        <v>partly</v>
      </c>
      <c r="K72" s="110" t="str">
        <f>INDEX(indicators,59,4)</f>
        <v>no</v>
      </c>
      <c r="L72" s="111" t="str">
        <f>INDEX(indicators,59,5)</f>
        <v>n/a</v>
      </c>
      <c r="M72" s="127"/>
      <c r="N72" s="583"/>
      <c r="O72" s="584"/>
    </row>
    <row r="73" spans="1:15" ht="20" hidden="1" customHeight="1" x14ac:dyDescent="0.45">
      <c r="A73" s="14">
        <f>INDEX(Answers,60,ViewStage+1)</f>
        <v>0</v>
      </c>
      <c r="C73" s="68"/>
      <c r="D73" s="75"/>
      <c r="E73" s="126" t="str">
        <f>INDEX(indicatorCodes,60,1)</f>
        <v>C16</v>
      </c>
      <c r="F73" s="189">
        <f>INDEX(indicators,60,1)</f>
        <v>0</v>
      </c>
      <c r="G73" s="221" t="s">
        <v>152</v>
      </c>
      <c r="H73" s="128"/>
      <c r="I73" s="108" t="str">
        <f>INDEX(indicators,60,2)</f>
        <v>yes</v>
      </c>
      <c r="J73" s="109" t="str">
        <f>INDEX(indicators,60,3)</f>
        <v>partly</v>
      </c>
      <c r="K73" s="110" t="str">
        <f>INDEX(indicators,60,4)</f>
        <v>no</v>
      </c>
      <c r="L73" s="111" t="str">
        <f>INDEX(indicators,60,5)</f>
        <v>n/a</v>
      </c>
      <c r="M73" s="127"/>
      <c r="N73" s="583"/>
      <c r="O73" s="584"/>
    </row>
    <row r="74" spans="1:15" ht="20" hidden="1" customHeight="1" x14ac:dyDescent="0.2">
      <c r="A74" s="14">
        <f>INDEX(Answers,61,ViewStage+1)</f>
        <v>0</v>
      </c>
      <c r="C74" s="69"/>
      <c r="D74" s="76"/>
      <c r="E74" s="126" t="str">
        <f>INDEX(indicatorCodes,61,1)</f>
        <v>C17</v>
      </c>
      <c r="F74" s="189">
        <f>INDEX(indicators,61,1)</f>
        <v>0</v>
      </c>
      <c r="G74" s="221" t="s">
        <v>152</v>
      </c>
      <c r="H74" s="128"/>
      <c r="I74" s="108" t="str">
        <f>INDEX(indicators,61,2)</f>
        <v>yes</v>
      </c>
      <c r="J74" s="109" t="str">
        <f>INDEX(indicators,61,3)</f>
        <v>partly</v>
      </c>
      <c r="K74" s="110" t="str">
        <f>INDEX(indicators,61,4)</f>
        <v>no</v>
      </c>
      <c r="L74" s="111" t="str">
        <f>INDEX(indicators,61,5)</f>
        <v>n/a</v>
      </c>
      <c r="M74" s="127"/>
      <c r="N74" s="583"/>
      <c r="O74" s="584"/>
    </row>
    <row r="75" spans="1:15" ht="20" hidden="1" customHeight="1" x14ac:dyDescent="0.2">
      <c r="A75" s="14">
        <f>INDEX(Answers,62,ViewStage+1)</f>
        <v>0</v>
      </c>
      <c r="C75" s="69"/>
      <c r="D75" s="76"/>
      <c r="E75" s="126" t="str">
        <f>INDEX(indicatorCodes,62,1)</f>
        <v>C18</v>
      </c>
      <c r="F75" s="189">
        <f>INDEX(indicators,62,1)</f>
        <v>0</v>
      </c>
      <c r="G75" s="221" t="s">
        <v>152</v>
      </c>
      <c r="H75" s="128"/>
      <c r="I75" s="108" t="str">
        <f>INDEX(indicators,62,2)</f>
        <v>yes</v>
      </c>
      <c r="J75" s="109" t="str">
        <f>INDEX(indicators,62,3)</f>
        <v>partly</v>
      </c>
      <c r="K75" s="110" t="str">
        <f>INDEX(indicators,62,4)</f>
        <v>no</v>
      </c>
      <c r="L75" s="111" t="str">
        <f>INDEX(indicators,62,5)</f>
        <v>n/a</v>
      </c>
      <c r="M75" s="127"/>
      <c r="N75" s="583"/>
      <c r="O75" s="584"/>
    </row>
    <row r="76" spans="1:15" ht="20" hidden="1" customHeight="1" x14ac:dyDescent="0.2">
      <c r="A76" s="14">
        <f>INDEX(Answers,63,ViewStage+1)</f>
        <v>0</v>
      </c>
      <c r="C76" s="69"/>
      <c r="D76" s="76"/>
      <c r="E76" s="126" t="str">
        <f>INDEX(indicatorCodes,63,1)</f>
        <v>C19</v>
      </c>
      <c r="F76" s="189">
        <f>INDEX(indicators,63,1)</f>
        <v>0</v>
      </c>
      <c r="G76" s="221" t="s">
        <v>152</v>
      </c>
      <c r="H76" s="128"/>
      <c r="I76" s="108" t="str">
        <f>INDEX(indicators,63,2)</f>
        <v>yes</v>
      </c>
      <c r="J76" s="109" t="str">
        <f>INDEX(indicators,63,3)</f>
        <v>partly</v>
      </c>
      <c r="K76" s="110" t="str">
        <f>INDEX(indicators,63,4)</f>
        <v>no</v>
      </c>
      <c r="L76" s="111" t="str">
        <f>INDEX(indicators,63,5)</f>
        <v>n/a</v>
      </c>
      <c r="M76" s="127"/>
      <c r="N76" s="583"/>
      <c r="O76" s="584"/>
    </row>
    <row r="77" spans="1:15" ht="20" hidden="1" customHeight="1" x14ac:dyDescent="0.2">
      <c r="A77" s="14">
        <f>INDEX(Answers,64,ViewStage+1)</f>
        <v>0</v>
      </c>
      <c r="C77" s="70"/>
      <c r="D77" s="77"/>
      <c r="E77" s="129" t="str">
        <f>INDEX(indicatorCodes,64,1)</f>
        <v>C20</v>
      </c>
      <c r="F77" s="192">
        <f>INDEX(indicators,64,1)</f>
        <v>0</v>
      </c>
      <c r="G77" s="222" t="s">
        <v>152</v>
      </c>
      <c r="H77" s="130"/>
      <c r="I77" s="131" t="str">
        <f>INDEX(indicators,64,2)</f>
        <v>yes</v>
      </c>
      <c r="J77" s="132" t="str">
        <f>INDEX(indicators,64,3)</f>
        <v>partly</v>
      </c>
      <c r="K77" s="133" t="str">
        <f>INDEX(indicators,64,4)</f>
        <v>no</v>
      </c>
      <c r="L77" s="134" t="str">
        <f>INDEX(indicators,64,5)</f>
        <v>n/a</v>
      </c>
      <c r="M77" s="135"/>
      <c r="N77" s="585"/>
      <c r="O77" s="586"/>
    </row>
    <row r="78" spans="1:15" s="271" customFormat="1" ht="30" customHeight="1" x14ac:dyDescent="0.2">
      <c r="A78" s="270">
        <f>INDEX(Answers,65,ViewStage+1)</f>
        <v>0</v>
      </c>
      <c r="C78" s="237"/>
      <c r="D78" s="237"/>
      <c r="E78" s="235">
        <f>INDEX(indicatorCodes,65,1)</f>
        <v>0</v>
      </c>
      <c r="F78" s="277" t="s">
        <v>203</v>
      </c>
      <c r="G78" s="236"/>
      <c r="H78" s="237"/>
      <c r="I78" s="238"/>
      <c r="J78" s="239"/>
      <c r="K78" s="240"/>
      <c r="L78" s="241"/>
      <c r="M78" s="237"/>
      <c r="N78" s="291"/>
      <c r="O78" s="291"/>
    </row>
    <row r="79" spans="1:15" ht="20" hidden="1" customHeight="1" x14ac:dyDescent="0.2">
      <c r="A79" s="14">
        <f>INDEX(Answers,66,ViewStage+1)</f>
        <v>0</v>
      </c>
      <c r="E79" s="97">
        <f>INDEX(indicatorCodes,66,1)</f>
        <v>0</v>
      </c>
      <c r="F79" s="92">
        <f>INDEX(indicators,66,1)</f>
        <v>0</v>
      </c>
      <c r="G79" s="214"/>
      <c r="H79" s="17"/>
      <c r="I79" s="93"/>
      <c r="J79" s="94"/>
      <c r="K79" s="95"/>
      <c r="L79" s="96"/>
      <c r="M79" s="17"/>
      <c r="N79" s="289"/>
      <c r="O79" s="289"/>
    </row>
    <row r="80" spans="1:15" ht="20" customHeight="1" x14ac:dyDescent="0.2">
      <c r="A80" s="14">
        <f>INDEX(Answers,67,ViewStage+1)</f>
        <v>0</v>
      </c>
      <c r="C80" s="633" t="s">
        <v>206</v>
      </c>
      <c r="D80" s="631" t="s">
        <v>211</v>
      </c>
      <c r="E80" s="136" t="str">
        <f>INDEX(indicatorCodes,67,1)</f>
        <v>D1</v>
      </c>
      <c r="F80" s="193" t="str">
        <f>INDEX(indicators,67,1)</f>
        <v>Time to handover is not the most important factor</v>
      </c>
      <c r="G80" s="223"/>
      <c r="H80" s="138"/>
      <c r="I80" s="139" t="str">
        <f>INDEX(indicators,67,2)</f>
        <v>yes</v>
      </c>
      <c r="J80" s="140" t="str">
        <f>INDEX(indicators,67,3)</f>
        <v>partly</v>
      </c>
      <c r="K80" s="141" t="str">
        <f>INDEX(indicators,67,4)</f>
        <v>no</v>
      </c>
      <c r="L80" s="142" t="str">
        <f>INDEX(indicators,67,5)</f>
        <v>n/a</v>
      </c>
      <c r="M80" s="137"/>
      <c r="N80" s="581"/>
      <c r="O80" s="582"/>
    </row>
    <row r="81" spans="1:15" ht="20" customHeight="1" x14ac:dyDescent="0.2">
      <c r="A81" s="14">
        <f>INDEX(Answers,68,ViewStage+1)</f>
        <v>0</v>
      </c>
      <c r="C81" s="634"/>
      <c r="D81" s="632"/>
      <c r="E81" s="143" t="str">
        <f>INDEX(indicatorCodes,68,1)</f>
        <v>D2</v>
      </c>
      <c r="F81" s="189" t="str">
        <f>INDEX(indicators,68,1)</f>
        <v>Design programme allows for a comprehensive, iterative process</v>
      </c>
      <c r="G81" s="224"/>
      <c r="H81" s="145"/>
      <c r="I81" s="108" t="str">
        <f>INDEX(indicators,68,2)</f>
        <v>yes</v>
      </c>
      <c r="J81" s="109" t="str">
        <f>INDEX(indicators,68,3)</f>
        <v>partly</v>
      </c>
      <c r="K81" s="110" t="str">
        <f>INDEX(indicators,68,4)</f>
        <v>no</v>
      </c>
      <c r="L81" s="111" t="str">
        <f>INDEX(indicators,68,5)</f>
        <v>n/a</v>
      </c>
      <c r="M81" s="144"/>
      <c r="N81" s="577"/>
      <c r="O81" s="578"/>
    </row>
    <row r="82" spans="1:15" ht="20" customHeight="1" x14ac:dyDescent="0.2">
      <c r="A82" s="14">
        <f>INDEX(Answers,69,ViewStage+1)</f>
        <v>0</v>
      </c>
      <c r="C82" s="604" t="s">
        <v>233</v>
      </c>
      <c r="D82" s="605"/>
      <c r="E82" s="143" t="str">
        <f>INDEX(indicatorCodes,69,1)</f>
        <v>D3</v>
      </c>
      <c r="F82" s="189" t="str">
        <f>INDEX(indicators,69,1)</f>
        <v>Estimated construction programme considered comfortable</v>
      </c>
      <c r="G82" s="224"/>
      <c r="H82" s="145"/>
      <c r="I82" s="108" t="str">
        <f>INDEX(indicators,69,2)</f>
        <v>yes</v>
      </c>
      <c r="J82" s="109" t="str">
        <f>INDEX(indicators,69,3)</f>
        <v>partly</v>
      </c>
      <c r="K82" s="110" t="str">
        <f>INDEX(indicators,69,4)</f>
        <v>no</v>
      </c>
      <c r="L82" s="111" t="str">
        <f>INDEX(indicators,69,5)</f>
        <v>n/a</v>
      </c>
      <c r="M82" s="144"/>
      <c r="N82" s="577"/>
      <c r="O82" s="578"/>
    </row>
    <row r="83" spans="1:15" ht="20" customHeight="1" x14ac:dyDescent="0.2">
      <c r="A83" s="14">
        <f>INDEX(Answers,70,ViewStage+1)</f>
        <v>4</v>
      </c>
      <c r="C83" s="604"/>
      <c r="D83" s="605"/>
      <c r="E83" s="143" t="str">
        <f>INDEX(indicatorCodes,70,1)</f>
        <v>D4</v>
      </c>
      <c r="F83" s="189" t="str">
        <f>INDEX(indicators,70,1)</f>
        <v>Client shares risk for delays beyond the contractor's control</v>
      </c>
      <c r="G83" s="224"/>
      <c r="H83" s="145"/>
      <c r="I83" s="108" t="str">
        <f>INDEX(indicators,70,2)</f>
        <v>yes</v>
      </c>
      <c r="J83" s="109" t="str">
        <f>INDEX(indicators,70,3)</f>
        <v>partly</v>
      </c>
      <c r="K83" s="110" t="str">
        <f>INDEX(indicators,70,4)</f>
        <v>no</v>
      </c>
      <c r="L83" s="111" t="str">
        <f>INDEX(indicators,70,5)</f>
        <v>n/a</v>
      </c>
      <c r="M83" s="144"/>
      <c r="N83" s="577"/>
      <c r="O83" s="578"/>
    </row>
    <row r="84" spans="1:15" ht="20" customHeight="1" x14ac:dyDescent="0.2">
      <c r="A84" s="14">
        <f>INDEX(Answers,71,ViewStage+1)</f>
        <v>0</v>
      </c>
      <c r="C84" s="604"/>
      <c r="D84" s="605"/>
      <c r="E84" s="143" t="str">
        <f>INDEX(indicatorCodes,71,1)</f>
        <v>D5</v>
      </c>
      <c r="F84" s="189" t="str">
        <f>INDEX(indicators,71,1)</f>
        <v>Key milestones relative to project start are not absolute</v>
      </c>
      <c r="G84" s="224"/>
      <c r="H84" s="145"/>
      <c r="I84" s="108" t="str">
        <f>INDEX(indicators,71,2)</f>
        <v>yes</v>
      </c>
      <c r="J84" s="109" t="str">
        <f>INDEX(indicators,71,3)</f>
        <v>partly</v>
      </c>
      <c r="K84" s="110" t="str">
        <f>INDEX(indicators,71,4)</f>
        <v>no</v>
      </c>
      <c r="L84" s="111" t="str">
        <f>INDEX(indicators,71,5)</f>
        <v>n/a</v>
      </c>
      <c r="M84" s="144"/>
      <c r="N84" s="577"/>
      <c r="O84" s="578"/>
    </row>
    <row r="85" spans="1:15" ht="20" customHeight="1" x14ac:dyDescent="0.2">
      <c r="A85" s="14">
        <f>INDEX(Answers,72,ViewStage+1)</f>
        <v>0</v>
      </c>
      <c r="C85" s="604"/>
      <c r="D85" s="605"/>
      <c r="E85" s="143" t="str">
        <f>INDEX(indicatorCodes,72,1)</f>
        <v>D6</v>
      </c>
      <c r="F85" s="189" t="str">
        <f>INDEX(indicators,72,1)</f>
        <v>Key programme issues are within control of client and project team</v>
      </c>
      <c r="G85" s="224"/>
      <c r="H85" s="145"/>
      <c r="I85" s="108" t="str">
        <f>INDEX(indicators,72,2)</f>
        <v>yes</v>
      </c>
      <c r="J85" s="109" t="str">
        <f>INDEX(indicators,72,3)</f>
        <v>partly</v>
      </c>
      <c r="K85" s="110" t="str">
        <f>INDEX(indicators,72,4)</f>
        <v>no</v>
      </c>
      <c r="L85" s="111" t="str">
        <f>INDEX(indicators,72,5)</f>
        <v>n/a</v>
      </c>
      <c r="M85" s="144"/>
      <c r="N85" s="577"/>
      <c r="O85" s="578"/>
    </row>
    <row r="86" spans="1:15" ht="20" customHeight="1" x14ac:dyDescent="0.2">
      <c r="A86" s="14">
        <f>INDEX(Answers,73,ViewStage+1)</f>
        <v>0</v>
      </c>
      <c r="C86" s="604"/>
      <c r="D86" s="605"/>
      <c r="E86" s="143" t="str">
        <f>INDEX(indicatorCodes,73,1)</f>
        <v>D7</v>
      </c>
      <c r="F86" s="189" t="str">
        <f>INDEX(indicators,73,1)</f>
        <v>Project plan consistent with planning and statutory constraints</v>
      </c>
      <c r="G86" s="224"/>
      <c r="H86" s="145"/>
      <c r="I86" s="108" t="str">
        <f>INDEX(indicators,73,2)</f>
        <v>yes</v>
      </c>
      <c r="J86" s="109" t="str">
        <f>INDEX(indicators,73,3)</f>
        <v>partly</v>
      </c>
      <c r="K86" s="110" t="str">
        <f>INDEX(indicators,73,4)</f>
        <v>no</v>
      </c>
      <c r="L86" s="111" t="str">
        <f>INDEX(indicators,73,5)</f>
        <v>n/a</v>
      </c>
      <c r="M86" s="144"/>
      <c r="N86" s="577"/>
      <c r="O86" s="578"/>
    </row>
    <row r="87" spans="1:15" ht="20" customHeight="1" x14ac:dyDescent="0.2">
      <c r="A87" s="14">
        <f>INDEX(Answers,74,ViewStage+1)</f>
        <v>0</v>
      </c>
      <c r="C87" s="604"/>
      <c r="D87" s="605"/>
      <c r="E87" s="143" t="str">
        <f>INDEX(indicatorCodes,74,1)</f>
        <v>D8</v>
      </c>
      <c r="F87" s="189" t="str">
        <f>INDEX(indicators,74,1)</f>
        <v>Project has financing support</v>
      </c>
      <c r="G87" s="224"/>
      <c r="H87" s="145"/>
      <c r="I87" s="108" t="str">
        <f>INDEX(indicators,74,2)</f>
        <v>yes</v>
      </c>
      <c r="J87" s="109" t="str">
        <f>INDEX(indicators,74,3)</f>
        <v>partly</v>
      </c>
      <c r="K87" s="110" t="str">
        <f>INDEX(indicators,74,4)</f>
        <v>no</v>
      </c>
      <c r="L87" s="111" t="str">
        <f>INDEX(indicators,74,5)</f>
        <v>n/a</v>
      </c>
      <c r="M87" s="144"/>
      <c r="N87" s="577"/>
      <c r="O87" s="578"/>
    </row>
    <row r="88" spans="1:15" ht="20" customHeight="1" x14ac:dyDescent="0.2">
      <c r="A88" s="14">
        <f>INDEX(Answers,75,ViewStage+1)</f>
        <v>0</v>
      </c>
      <c r="C88" s="604"/>
      <c r="D88" s="605"/>
      <c r="E88" s="143" t="str">
        <f>INDEX(indicatorCodes,75,1)</f>
        <v>D9</v>
      </c>
      <c r="F88" s="189" t="str">
        <f>INDEX(indicators,75,1)</f>
        <v>Project has end user and investor support</v>
      </c>
      <c r="G88" s="224"/>
      <c r="H88" s="145"/>
      <c r="I88" s="108" t="str">
        <f>INDEX(indicators,75,2)</f>
        <v>yes</v>
      </c>
      <c r="J88" s="109" t="str">
        <f>INDEX(indicators,75,3)</f>
        <v>partly</v>
      </c>
      <c r="K88" s="110" t="str">
        <f>INDEX(indicators,75,4)</f>
        <v>no</v>
      </c>
      <c r="L88" s="111" t="str">
        <f>INDEX(indicators,75,5)</f>
        <v>n/a</v>
      </c>
      <c r="M88" s="144"/>
      <c r="N88" s="577"/>
      <c r="O88" s="578"/>
    </row>
    <row r="89" spans="1:15" ht="20" hidden="1" customHeight="1" x14ac:dyDescent="0.2">
      <c r="A89" s="14">
        <f>INDEX(Answers,76,ViewStage+1)</f>
        <v>0</v>
      </c>
      <c r="C89" s="203"/>
      <c r="D89" s="204"/>
      <c r="E89" s="143" t="str">
        <f>INDEX(indicatorCodes,76,1)</f>
        <v>D10</v>
      </c>
      <c r="F89" s="189">
        <f>INDEX(indicators,76,1)</f>
        <v>0</v>
      </c>
      <c r="G89" s="225" t="s">
        <v>152</v>
      </c>
      <c r="H89" s="145"/>
      <c r="I89" s="108" t="str">
        <f>INDEX(indicators,76,2)</f>
        <v>yes</v>
      </c>
      <c r="J89" s="109" t="str">
        <f>INDEX(indicators,76,3)</f>
        <v>partly</v>
      </c>
      <c r="K89" s="110" t="str">
        <f>INDEX(indicators,76,4)</f>
        <v>no</v>
      </c>
      <c r="L89" s="111" t="str">
        <f>INDEX(indicators,76,5)</f>
        <v>n/a</v>
      </c>
      <c r="M89" s="144"/>
      <c r="N89" s="577"/>
      <c r="O89" s="578"/>
    </row>
    <row r="90" spans="1:15" ht="20" hidden="1" customHeight="1" x14ac:dyDescent="0.2">
      <c r="A90" s="14">
        <f>INDEX(Answers,77,ViewStage+1)</f>
        <v>0</v>
      </c>
      <c r="C90" s="203"/>
      <c r="D90" s="204"/>
      <c r="E90" s="143" t="str">
        <f>INDEX(indicatorCodes,77,1)</f>
        <v>D11</v>
      </c>
      <c r="F90" s="189">
        <f>INDEX(indicators,77,1)</f>
        <v>0</v>
      </c>
      <c r="G90" s="225" t="s">
        <v>152</v>
      </c>
      <c r="H90" s="145"/>
      <c r="I90" s="108" t="str">
        <f>INDEX(indicators,77,2)</f>
        <v>yes</v>
      </c>
      <c r="J90" s="109" t="str">
        <f>INDEX(indicators,77,3)</f>
        <v>partly</v>
      </c>
      <c r="K90" s="110" t="str">
        <f>INDEX(indicators,77,4)</f>
        <v>no</v>
      </c>
      <c r="L90" s="111" t="str">
        <f>INDEX(indicators,77,5)</f>
        <v>n/a</v>
      </c>
      <c r="M90" s="144"/>
      <c r="N90" s="577"/>
      <c r="O90" s="578"/>
    </row>
    <row r="91" spans="1:15" ht="20" hidden="1" customHeight="1" x14ac:dyDescent="0.2">
      <c r="A91" s="14">
        <f>INDEX(Answers,78,ViewStage+1)</f>
        <v>0</v>
      </c>
      <c r="C91" s="203"/>
      <c r="D91" s="204"/>
      <c r="E91" s="143" t="str">
        <f>INDEX(indicatorCodes,78,1)</f>
        <v>D12</v>
      </c>
      <c r="F91" s="189">
        <f>INDEX(indicators,78,1)</f>
        <v>0</v>
      </c>
      <c r="G91" s="225" t="s">
        <v>152</v>
      </c>
      <c r="H91" s="145"/>
      <c r="I91" s="108" t="str">
        <f>INDEX(indicators,78,2)</f>
        <v>yes</v>
      </c>
      <c r="J91" s="109" t="str">
        <f>INDEX(indicators,78,3)</f>
        <v>partly</v>
      </c>
      <c r="K91" s="110" t="str">
        <f>INDEX(indicators,78,4)</f>
        <v>no</v>
      </c>
      <c r="L91" s="111" t="str">
        <f>INDEX(indicators,78,5)</f>
        <v>n/a</v>
      </c>
      <c r="M91" s="144"/>
      <c r="N91" s="577"/>
      <c r="O91" s="578"/>
    </row>
    <row r="92" spans="1:15" ht="20" hidden="1" customHeight="1" x14ac:dyDescent="0.45">
      <c r="A92" s="14">
        <f>INDEX(Answers,79,ViewStage+1)</f>
        <v>0</v>
      </c>
      <c r="C92" s="72"/>
      <c r="D92" s="71"/>
      <c r="E92" s="143" t="str">
        <f>INDEX(indicatorCodes,79,1)</f>
        <v>D13</v>
      </c>
      <c r="F92" s="189">
        <f>INDEX(indicators,79,1)</f>
        <v>0</v>
      </c>
      <c r="G92" s="225" t="s">
        <v>152</v>
      </c>
      <c r="H92" s="145"/>
      <c r="I92" s="108" t="str">
        <f>INDEX(indicators,79,2)</f>
        <v>yes</v>
      </c>
      <c r="J92" s="109" t="str">
        <f>INDEX(indicators,79,3)</f>
        <v>partly</v>
      </c>
      <c r="K92" s="110" t="str">
        <f>INDEX(indicators,79,4)</f>
        <v>no</v>
      </c>
      <c r="L92" s="111" t="str">
        <f>INDEX(indicators,79,5)</f>
        <v>n/a</v>
      </c>
      <c r="M92" s="144"/>
      <c r="N92" s="577"/>
      <c r="O92" s="578"/>
    </row>
    <row r="93" spans="1:15" ht="20" hidden="1" customHeight="1" x14ac:dyDescent="0.45">
      <c r="A93" s="14">
        <f>INDEX(Answers,80,ViewStage+1)</f>
        <v>0</v>
      </c>
      <c r="C93" s="72"/>
      <c r="D93" s="71"/>
      <c r="E93" s="143" t="str">
        <f>INDEX(indicatorCodes,80,1)</f>
        <v>D14</v>
      </c>
      <c r="F93" s="189">
        <f>INDEX(indicators,80,1)</f>
        <v>0</v>
      </c>
      <c r="G93" s="225" t="s">
        <v>152</v>
      </c>
      <c r="H93" s="145"/>
      <c r="I93" s="108" t="str">
        <f>INDEX(indicators,80,2)</f>
        <v>yes</v>
      </c>
      <c r="J93" s="109" t="str">
        <f>INDEX(indicators,80,3)</f>
        <v>partly</v>
      </c>
      <c r="K93" s="110" t="str">
        <f>INDEX(indicators,80,4)</f>
        <v>no</v>
      </c>
      <c r="L93" s="111" t="str">
        <f>INDEX(indicators,80,5)</f>
        <v>n/a</v>
      </c>
      <c r="M93" s="144"/>
      <c r="N93" s="577"/>
      <c r="O93" s="578"/>
    </row>
    <row r="94" spans="1:15" ht="20" hidden="1" customHeight="1" x14ac:dyDescent="0.45">
      <c r="A94" s="14">
        <f>INDEX(Answers,81,ViewStage+1)</f>
        <v>0</v>
      </c>
      <c r="C94" s="72"/>
      <c r="D94" s="71"/>
      <c r="E94" s="143" t="str">
        <f>INDEX(indicatorCodes,81,1)</f>
        <v>D15</v>
      </c>
      <c r="F94" s="189">
        <f>INDEX(indicators,81,1)</f>
        <v>0</v>
      </c>
      <c r="G94" s="225" t="s">
        <v>152</v>
      </c>
      <c r="H94" s="145"/>
      <c r="I94" s="108" t="str">
        <f>INDEX(indicators,81,2)</f>
        <v>yes</v>
      </c>
      <c r="J94" s="109" t="str">
        <f>INDEX(indicators,81,3)</f>
        <v>partly</v>
      </c>
      <c r="K94" s="110" t="str">
        <f>INDEX(indicators,81,4)</f>
        <v>no</v>
      </c>
      <c r="L94" s="111" t="str">
        <f>INDEX(indicators,81,5)</f>
        <v>n/a</v>
      </c>
      <c r="M94" s="144"/>
      <c r="N94" s="577"/>
      <c r="O94" s="578"/>
    </row>
    <row r="95" spans="1:15" ht="20" hidden="1" customHeight="1" x14ac:dyDescent="0.45">
      <c r="A95" s="14">
        <f>INDEX(Answers,82,ViewStage+1)</f>
        <v>0</v>
      </c>
      <c r="C95" s="72"/>
      <c r="D95" s="71"/>
      <c r="E95" s="143" t="str">
        <f>INDEX(indicatorCodes,82,1)</f>
        <v>D16</v>
      </c>
      <c r="F95" s="189">
        <f>INDEX(indicators,82,1)</f>
        <v>0</v>
      </c>
      <c r="G95" s="225" t="s">
        <v>152</v>
      </c>
      <c r="H95" s="145"/>
      <c r="I95" s="108" t="str">
        <f>INDEX(indicators,82,2)</f>
        <v>yes</v>
      </c>
      <c r="J95" s="109" t="str">
        <f>INDEX(indicators,82,3)</f>
        <v>partly</v>
      </c>
      <c r="K95" s="110" t="str">
        <f>INDEX(indicators,82,4)</f>
        <v>no</v>
      </c>
      <c r="L95" s="111" t="str">
        <f>INDEX(indicators,82,5)</f>
        <v>n/a</v>
      </c>
      <c r="M95" s="144"/>
      <c r="N95" s="577"/>
      <c r="O95" s="578"/>
    </row>
    <row r="96" spans="1:15" ht="20" hidden="1" customHeight="1" x14ac:dyDescent="0.2">
      <c r="A96" s="14">
        <f>INDEX(Answers,83,ViewStage+1)</f>
        <v>0</v>
      </c>
      <c r="C96" s="73"/>
      <c r="D96" s="55"/>
      <c r="E96" s="143" t="str">
        <f>INDEX(indicatorCodes,83,1)</f>
        <v>D17</v>
      </c>
      <c r="F96" s="189">
        <f>INDEX(indicators,83,1)</f>
        <v>0</v>
      </c>
      <c r="G96" s="225" t="s">
        <v>152</v>
      </c>
      <c r="H96" s="145"/>
      <c r="I96" s="108" t="str">
        <f>INDEX(indicators,83,2)</f>
        <v>yes</v>
      </c>
      <c r="J96" s="109" t="str">
        <f>INDEX(indicators,83,3)</f>
        <v>partly</v>
      </c>
      <c r="K96" s="110" t="str">
        <f>INDEX(indicators,83,4)</f>
        <v>no</v>
      </c>
      <c r="L96" s="111" t="str">
        <f>INDEX(indicators,83,5)</f>
        <v>n/a</v>
      </c>
      <c r="M96" s="144"/>
      <c r="N96" s="577"/>
      <c r="O96" s="578"/>
    </row>
    <row r="97" spans="1:15" ht="20" hidden="1" customHeight="1" x14ac:dyDescent="0.2">
      <c r="A97" s="14">
        <f>INDEX(Answers,84,ViewStage+1)</f>
        <v>0</v>
      </c>
      <c r="C97" s="73"/>
      <c r="D97" s="55"/>
      <c r="E97" s="143" t="str">
        <f>INDEX(indicatorCodes,84,1)</f>
        <v>D18</v>
      </c>
      <c r="F97" s="189">
        <f>INDEX(indicators,84,1)</f>
        <v>0</v>
      </c>
      <c r="G97" s="225" t="s">
        <v>152</v>
      </c>
      <c r="H97" s="145"/>
      <c r="I97" s="108" t="str">
        <f>INDEX(indicators,84,2)</f>
        <v>yes</v>
      </c>
      <c r="J97" s="109" t="str">
        <f>INDEX(indicators,84,3)</f>
        <v>partly</v>
      </c>
      <c r="K97" s="110" t="str">
        <f>INDEX(indicators,84,4)</f>
        <v>no</v>
      </c>
      <c r="L97" s="111" t="str">
        <f>INDEX(indicators,84,5)</f>
        <v>n/a</v>
      </c>
      <c r="M97" s="144"/>
      <c r="N97" s="577"/>
      <c r="O97" s="578"/>
    </row>
    <row r="98" spans="1:15" ht="20" hidden="1" customHeight="1" x14ac:dyDescent="0.2">
      <c r="A98" s="14">
        <f>INDEX(Answers,85,ViewStage+1)</f>
        <v>0</v>
      </c>
      <c r="C98" s="73"/>
      <c r="D98" s="55"/>
      <c r="E98" s="143" t="str">
        <f>INDEX(indicatorCodes,85,1)</f>
        <v>D19</v>
      </c>
      <c r="F98" s="189">
        <f>INDEX(indicators,85,1)</f>
        <v>0</v>
      </c>
      <c r="G98" s="225" t="s">
        <v>152</v>
      </c>
      <c r="H98" s="145"/>
      <c r="I98" s="108" t="str">
        <f>INDEX(indicators,85,2)</f>
        <v>yes</v>
      </c>
      <c r="J98" s="109" t="str">
        <f>INDEX(indicators,85,3)</f>
        <v>partly</v>
      </c>
      <c r="K98" s="110" t="str">
        <f>INDEX(indicators,85,4)</f>
        <v>no</v>
      </c>
      <c r="L98" s="111" t="str">
        <f>INDEX(indicators,85,5)</f>
        <v>n/a</v>
      </c>
      <c r="M98" s="144"/>
      <c r="N98" s="577"/>
      <c r="O98" s="578"/>
    </row>
    <row r="99" spans="1:15" ht="20" hidden="1" customHeight="1" x14ac:dyDescent="0.2">
      <c r="A99" s="14">
        <f>INDEX(Answers,86,ViewStage+1)</f>
        <v>0</v>
      </c>
      <c r="C99" s="74"/>
      <c r="D99" s="78"/>
      <c r="E99" s="146" t="str">
        <f>INDEX(indicatorCodes,86,1)</f>
        <v>D20</v>
      </c>
      <c r="F99" s="194">
        <f>INDEX(indicators,86,1)</f>
        <v>0</v>
      </c>
      <c r="G99" s="226" t="s">
        <v>152</v>
      </c>
      <c r="H99" s="147"/>
      <c r="I99" s="148" t="str">
        <f>INDEX(indicators,86,2)</f>
        <v>yes</v>
      </c>
      <c r="J99" s="149" t="str">
        <f>INDEX(indicators,86,3)</f>
        <v>partly</v>
      </c>
      <c r="K99" s="150" t="str">
        <f>INDEX(indicators,86,4)</f>
        <v>no</v>
      </c>
      <c r="L99" s="151" t="str">
        <f>INDEX(indicators,86,5)</f>
        <v>n/a</v>
      </c>
      <c r="M99" s="152"/>
      <c r="N99" s="579"/>
      <c r="O99" s="580"/>
    </row>
    <row r="100" spans="1:15" s="271" customFormat="1" ht="30" customHeight="1" x14ac:dyDescent="0.2">
      <c r="A100" s="270">
        <f>INDEX(Answers,87,ViewStage+1)</f>
        <v>0</v>
      </c>
      <c r="C100" s="244"/>
      <c r="D100" s="244"/>
      <c r="E100" s="242">
        <f>INDEX(indicatorCodes,87,1)</f>
        <v>0</v>
      </c>
      <c r="F100" s="278" t="s">
        <v>203</v>
      </c>
      <c r="G100" s="243"/>
      <c r="H100" s="244"/>
      <c r="I100" s="245"/>
      <c r="J100" s="246"/>
      <c r="K100" s="247"/>
      <c r="L100" s="248"/>
      <c r="M100" s="244"/>
      <c r="N100" s="452"/>
      <c r="O100" s="452"/>
    </row>
    <row r="101" spans="1:15" ht="20" hidden="1" customHeight="1" x14ac:dyDescent="0.2">
      <c r="A101" s="14">
        <f>INDEX(Answers,88,ViewStage+1)</f>
        <v>0</v>
      </c>
      <c r="E101" s="97">
        <f>INDEX(indicatorCodes,88,1)</f>
        <v>0</v>
      </c>
      <c r="F101" s="92">
        <f>INDEX(indicators,88,1)</f>
        <v>0</v>
      </c>
      <c r="G101" s="214"/>
      <c r="H101" s="17"/>
      <c r="I101" s="93"/>
      <c r="J101" s="94"/>
      <c r="K101" s="95"/>
      <c r="L101" s="96"/>
      <c r="M101" s="17"/>
      <c r="N101" s="289"/>
      <c r="O101" s="289"/>
    </row>
    <row r="102" spans="1:15" ht="20" customHeight="1" x14ac:dyDescent="0.2">
      <c r="A102" s="14">
        <f>INDEX(Answers,89,ViewStage+1)</f>
        <v>0</v>
      </c>
      <c r="C102" s="638" t="s">
        <v>207</v>
      </c>
      <c r="D102" s="636" t="s">
        <v>212</v>
      </c>
      <c r="E102" s="153" t="str">
        <f>INDEX(indicatorCodes,89,1)</f>
        <v>E1</v>
      </c>
      <c r="F102" s="195" t="str">
        <f>INDEX(indicators,89,1)</f>
        <v>Straightforward construction methodology</v>
      </c>
      <c r="G102" s="227"/>
      <c r="H102" s="154"/>
      <c r="I102" s="155" t="str">
        <f>INDEX(indicators,89,2)</f>
        <v>yes</v>
      </c>
      <c r="J102" s="156" t="str">
        <f>INDEX(indicators,89,3)</f>
        <v>partly</v>
      </c>
      <c r="K102" s="157" t="str">
        <f>INDEX(indicators,89,4)</f>
        <v>no</v>
      </c>
      <c r="L102" s="158" t="str">
        <f>INDEX(indicators,89,5)</f>
        <v>n/a</v>
      </c>
      <c r="M102" s="159"/>
      <c r="N102" s="575"/>
      <c r="O102" s="576"/>
    </row>
    <row r="103" spans="1:15" ht="20" customHeight="1" x14ac:dyDescent="0.2">
      <c r="A103" s="14">
        <f>INDEX(Answers,90,ViewStage+1)</f>
        <v>4</v>
      </c>
      <c r="C103" s="639"/>
      <c r="D103" s="637"/>
      <c r="E103" s="160" t="str">
        <f>INDEX(indicatorCodes,90,1)</f>
        <v>E2</v>
      </c>
      <c r="F103" s="189" t="str">
        <f>INDEX(indicators,90,1)</f>
        <v>Tender packages unambiguous and comprehensively documented</v>
      </c>
      <c r="G103" s="228"/>
      <c r="H103" s="161"/>
      <c r="I103" s="108" t="str">
        <f>INDEX(indicators,90,2)</f>
        <v>yes</v>
      </c>
      <c r="J103" s="109" t="str">
        <f>INDEX(indicators,90,3)</f>
        <v>partly</v>
      </c>
      <c r="K103" s="110" t="str">
        <f>INDEX(indicators,90,4)</f>
        <v>no</v>
      </c>
      <c r="L103" s="111" t="str">
        <f>INDEX(indicators,90,5)</f>
        <v>n/a</v>
      </c>
      <c r="M103" s="162"/>
      <c r="N103" s="571"/>
      <c r="O103" s="572"/>
    </row>
    <row r="104" spans="1:15" ht="20" customHeight="1" x14ac:dyDescent="0.2">
      <c r="A104" s="14">
        <f>INDEX(Answers,91,ViewStage+1)</f>
        <v>0</v>
      </c>
      <c r="C104" s="640" t="s">
        <v>235</v>
      </c>
      <c r="D104" s="641"/>
      <c r="E104" s="160" t="str">
        <f>INDEX(indicatorCodes,91,1)</f>
        <v>E3</v>
      </c>
      <c r="F104" s="189" t="str">
        <f>INDEX(indicators,91,1)</f>
        <v>ERs specify required quality of materials &amp; workmanship</v>
      </c>
      <c r="G104" s="228"/>
      <c r="H104" s="161"/>
      <c r="I104" s="108" t="str">
        <f>INDEX(indicators,91,2)</f>
        <v>yes</v>
      </c>
      <c r="J104" s="109" t="str">
        <f>INDEX(indicators,91,3)</f>
        <v>partly</v>
      </c>
      <c r="K104" s="110" t="str">
        <f>INDEX(indicators,91,4)</f>
        <v>no</v>
      </c>
      <c r="L104" s="111" t="str">
        <f>INDEX(indicators,91,5)</f>
        <v>n/a</v>
      </c>
      <c r="M104" s="162"/>
      <c r="N104" s="571"/>
      <c r="O104" s="572"/>
    </row>
    <row r="105" spans="1:15" ht="20" customHeight="1" x14ac:dyDescent="0.2">
      <c r="A105" s="14">
        <f>INDEX(Answers,92,ViewStage+1)</f>
        <v>0</v>
      </c>
      <c r="C105" s="640"/>
      <c r="D105" s="641"/>
      <c r="E105" s="160" t="str">
        <f>INDEX(indicatorCodes,92,1)</f>
        <v>E4</v>
      </c>
      <c r="F105" s="189" t="str">
        <f>INDEX(indicators,92,1)</f>
        <v>Design does not require significant subcontractor design input</v>
      </c>
      <c r="G105" s="228"/>
      <c r="H105" s="161"/>
      <c r="I105" s="108" t="str">
        <f>INDEX(indicators,92,2)</f>
        <v>yes</v>
      </c>
      <c r="J105" s="109" t="str">
        <f>INDEX(indicators,92,3)</f>
        <v>partly</v>
      </c>
      <c r="K105" s="110" t="str">
        <f>INDEX(indicators,92,4)</f>
        <v>no</v>
      </c>
      <c r="L105" s="111" t="str">
        <f>INDEX(indicators,92,5)</f>
        <v>n/a</v>
      </c>
      <c r="M105" s="162"/>
      <c r="N105" s="571"/>
      <c r="O105" s="572"/>
    </row>
    <row r="106" spans="1:15" ht="20" customHeight="1" x14ac:dyDescent="0.2">
      <c r="A106" s="14">
        <f>INDEX(Answers,93,ViewStage+1)</f>
        <v>4</v>
      </c>
      <c r="C106" s="640"/>
      <c r="D106" s="641"/>
      <c r="E106" s="160" t="str">
        <f>INDEX(indicatorCodes,93,1)</f>
        <v>E5</v>
      </c>
      <c r="F106" s="189" t="str">
        <f>INDEX(indicators,93,1)</f>
        <v>Project Lead accepts contractor's material substitutions obtained</v>
      </c>
      <c r="G106" s="228"/>
      <c r="H106" s="161"/>
      <c r="I106" s="108" t="str">
        <f>INDEX(indicators,93,2)</f>
        <v>yes</v>
      </c>
      <c r="J106" s="109" t="str">
        <f>INDEX(indicators,93,3)</f>
        <v>partly</v>
      </c>
      <c r="K106" s="110" t="str">
        <f>INDEX(indicators,93,4)</f>
        <v>no</v>
      </c>
      <c r="L106" s="111" t="str">
        <f>INDEX(indicators,93,5)</f>
        <v>n/a</v>
      </c>
      <c r="M106" s="162"/>
      <c r="N106" s="571"/>
      <c r="O106" s="572"/>
    </row>
    <row r="107" spans="1:15" ht="20" customHeight="1" x14ac:dyDescent="0.2">
      <c r="A107" s="14">
        <f>INDEX(Answers,94,ViewStage+1)</f>
        <v>4</v>
      </c>
      <c r="C107" s="640"/>
      <c r="D107" s="641"/>
      <c r="E107" s="160" t="str">
        <f>INDEX(indicatorCodes,94,1)</f>
        <v>E6</v>
      </c>
      <c r="F107" s="189" t="str">
        <f>INDEX(indicators,94,1)</f>
        <v>Project team has engaged early with main contractors</v>
      </c>
      <c r="G107" s="228"/>
      <c r="H107" s="161"/>
      <c r="I107" s="108" t="str">
        <f>INDEX(indicators,94,2)</f>
        <v>yes</v>
      </c>
      <c r="J107" s="109" t="str">
        <f>INDEX(indicators,94,3)</f>
        <v>partly</v>
      </c>
      <c r="K107" s="110" t="str">
        <f>INDEX(indicators,94,4)</f>
        <v>no</v>
      </c>
      <c r="L107" s="111" t="str">
        <f>INDEX(indicators,94,5)</f>
        <v>n/a</v>
      </c>
      <c r="M107" s="162"/>
      <c r="N107" s="571"/>
      <c r="O107" s="572"/>
    </row>
    <row r="108" spans="1:15" ht="20" customHeight="1" x14ac:dyDescent="0.2">
      <c r="A108" s="14">
        <f>INDEX(Answers,95,ViewStage+1)</f>
        <v>4</v>
      </c>
      <c r="C108" s="640"/>
      <c r="D108" s="641"/>
      <c r="E108" s="160" t="str">
        <f>INDEX(indicatorCodes,95,1)</f>
        <v>E7</v>
      </c>
      <c r="F108" s="189" t="str">
        <f>INDEX(indicators,95,1)</f>
        <v>Project team has engaged early with supply chain</v>
      </c>
      <c r="G108" s="228"/>
      <c r="H108" s="161"/>
      <c r="I108" s="108" t="str">
        <f>INDEX(indicators,95,2)</f>
        <v>yes</v>
      </c>
      <c r="J108" s="109" t="str">
        <f>INDEX(indicators,95,3)</f>
        <v>partly</v>
      </c>
      <c r="K108" s="110" t="str">
        <f>INDEX(indicators,95,4)</f>
        <v>no</v>
      </c>
      <c r="L108" s="111" t="str">
        <f>INDEX(indicators,95,5)</f>
        <v>n/a</v>
      </c>
      <c r="M108" s="162"/>
      <c r="N108" s="571"/>
      <c r="O108" s="572"/>
    </row>
    <row r="109" spans="1:15" ht="20" customHeight="1" x14ac:dyDescent="0.2">
      <c r="A109" s="14">
        <f>INDEX(Answers,96,ViewStage+1)</f>
        <v>0</v>
      </c>
      <c r="C109" s="640"/>
      <c r="D109" s="641"/>
      <c r="E109" s="160" t="str">
        <f>INDEX(indicatorCodes,96,1)</f>
        <v>E8</v>
      </c>
      <c r="F109" s="189" t="str">
        <f>INDEX(indicators,96,1)</f>
        <v>Project team has identified key specialisms likely to be required</v>
      </c>
      <c r="G109" s="228"/>
      <c r="H109" s="161"/>
      <c r="I109" s="108" t="str">
        <f>INDEX(indicators,96,2)</f>
        <v>yes</v>
      </c>
      <c r="J109" s="109" t="str">
        <f>INDEX(indicators,96,3)</f>
        <v>partly</v>
      </c>
      <c r="K109" s="110" t="str">
        <f>INDEX(indicators,96,4)</f>
        <v>no</v>
      </c>
      <c r="L109" s="111" t="str">
        <f>INDEX(indicators,96,5)</f>
        <v>n/a</v>
      </c>
      <c r="M109" s="162"/>
      <c r="N109" s="571"/>
      <c r="O109" s="572"/>
    </row>
    <row r="110" spans="1:15" ht="20" hidden="1" customHeight="1" x14ac:dyDescent="0.2">
      <c r="A110" s="14">
        <f>INDEX(Answers,97,ViewStage+1)</f>
        <v>0</v>
      </c>
      <c r="C110" s="205"/>
      <c r="D110" s="206"/>
      <c r="E110" s="160" t="str">
        <f>INDEX(indicatorCodes,97,1)</f>
        <v>E9</v>
      </c>
      <c r="F110" s="189">
        <f>INDEX(indicators,97,1)</f>
        <v>0</v>
      </c>
      <c r="G110" s="229" t="s">
        <v>152</v>
      </c>
      <c r="H110" s="161"/>
      <c r="I110" s="108" t="str">
        <f>INDEX(indicators,97,2)</f>
        <v>yes</v>
      </c>
      <c r="J110" s="109" t="str">
        <f>INDEX(indicators,97,3)</f>
        <v>partly</v>
      </c>
      <c r="K110" s="110" t="str">
        <f>INDEX(indicators,97,4)</f>
        <v>no</v>
      </c>
      <c r="L110" s="111" t="str">
        <f>INDEX(indicators,97,5)</f>
        <v>n/a</v>
      </c>
      <c r="M110" s="162"/>
      <c r="N110" s="571"/>
      <c r="O110" s="572"/>
    </row>
    <row r="111" spans="1:15" ht="20" hidden="1" customHeight="1" x14ac:dyDescent="0.2">
      <c r="A111" s="14">
        <f>INDEX(Answers,98,ViewStage+1)</f>
        <v>0</v>
      </c>
      <c r="C111" s="205"/>
      <c r="D111" s="206"/>
      <c r="E111" s="160" t="str">
        <f>INDEX(indicatorCodes,98,1)</f>
        <v>E10</v>
      </c>
      <c r="F111" s="189">
        <f>INDEX(indicators,98,1)</f>
        <v>0</v>
      </c>
      <c r="G111" s="229" t="s">
        <v>152</v>
      </c>
      <c r="H111" s="161"/>
      <c r="I111" s="108" t="str">
        <f>INDEX(indicators,98,2)</f>
        <v>yes</v>
      </c>
      <c r="J111" s="109" t="str">
        <f>INDEX(indicators,98,3)</f>
        <v>partly</v>
      </c>
      <c r="K111" s="110" t="str">
        <f>INDEX(indicators,98,4)</f>
        <v>no</v>
      </c>
      <c r="L111" s="111" t="str">
        <f>INDEX(indicators,98,5)</f>
        <v>n/a</v>
      </c>
      <c r="M111" s="162"/>
      <c r="N111" s="571"/>
      <c r="O111" s="572"/>
    </row>
    <row r="112" spans="1:15" ht="20" hidden="1" customHeight="1" x14ac:dyDescent="0.2">
      <c r="A112" s="14">
        <f>INDEX(Answers,99,ViewStage+1)</f>
        <v>0</v>
      </c>
      <c r="C112" s="205"/>
      <c r="D112" s="206"/>
      <c r="E112" s="160" t="str">
        <f>INDEX(indicatorCodes,99,1)</f>
        <v>E11</v>
      </c>
      <c r="F112" s="189">
        <f>INDEX(indicators,99,1)</f>
        <v>0</v>
      </c>
      <c r="G112" s="229" t="s">
        <v>152</v>
      </c>
      <c r="H112" s="161"/>
      <c r="I112" s="108" t="str">
        <f>INDEX(indicators,99,2)</f>
        <v>yes</v>
      </c>
      <c r="J112" s="109" t="str">
        <f>INDEX(indicators,99,3)</f>
        <v>partly</v>
      </c>
      <c r="K112" s="110" t="str">
        <f>INDEX(indicators,99,4)</f>
        <v>no</v>
      </c>
      <c r="L112" s="111" t="str">
        <f>INDEX(indicators,99,5)</f>
        <v>n/a</v>
      </c>
      <c r="M112" s="162"/>
      <c r="N112" s="571"/>
      <c r="O112" s="572"/>
    </row>
    <row r="113" spans="1:15" ht="20" hidden="1" customHeight="1" x14ac:dyDescent="0.2">
      <c r="A113" s="14">
        <f>INDEX(Answers,100,ViewStage+1)</f>
        <v>0</v>
      </c>
      <c r="C113" s="205"/>
      <c r="D113" s="206"/>
      <c r="E113" s="160" t="str">
        <f>INDEX(indicatorCodes,100,1)</f>
        <v>E12</v>
      </c>
      <c r="F113" s="189">
        <f>INDEX(indicators,100,1)</f>
        <v>0</v>
      </c>
      <c r="G113" s="229" t="s">
        <v>152</v>
      </c>
      <c r="H113" s="161"/>
      <c r="I113" s="108" t="str">
        <f>INDEX(indicators,100,2)</f>
        <v>yes</v>
      </c>
      <c r="J113" s="109" t="str">
        <f>INDEX(indicators,100,3)</f>
        <v>partly</v>
      </c>
      <c r="K113" s="110" t="str">
        <f>INDEX(indicators,100,4)</f>
        <v>no</v>
      </c>
      <c r="L113" s="111" t="str">
        <f>INDEX(indicators,100,5)</f>
        <v>n/a</v>
      </c>
      <c r="M113" s="162"/>
      <c r="N113" s="571"/>
      <c r="O113" s="572"/>
    </row>
    <row r="114" spans="1:15" ht="20" hidden="1" customHeight="1" x14ac:dyDescent="0.45">
      <c r="A114" s="14">
        <f>INDEX(Answers,101,ViewStage+1)</f>
        <v>0</v>
      </c>
      <c r="C114" s="79"/>
      <c r="D114" s="80"/>
      <c r="E114" s="160" t="str">
        <f>INDEX(indicatorCodes,101,1)</f>
        <v>E13</v>
      </c>
      <c r="F114" s="189">
        <f>INDEX(indicators,101,1)</f>
        <v>0</v>
      </c>
      <c r="G114" s="229" t="s">
        <v>152</v>
      </c>
      <c r="H114" s="161"/>
      <c r="I114" s="108" t="str">
        <f>INDEX(indicators,101,2)</f>
        <v>yes</v>
      </c>
      <c r="J114" s="109" t="str">
        <f>INDEX(indicators,101,3)</f>
        <v>partly</v>
      </c>
      <c r="K114" s="110" t="str">
        <f>INDEX(indicators,101,4)</f>
        <v>no</v>
      </c>
      <c r="L114" s="111" t="str">
        <f>INDEX(indicators,101,5)</f>
        <v>n/a</v>
      </c>
      <c r="M114" s="162"/>
      <c r="N114" s="571"/>
      <c r="O114" s="572"/>
    </row>
    <row r="115" spans="1:15" ht="20" hidden="1" customHeight="1" x14ac:dyDescent="0.45">
      <c r="A115" s="14">
        <f>INDEX(Answers,102,ViewStage+1)</f>
        <v>0</v>
      </c>
      <c r="C115" s="79"/>
      <c r="D115" s="80"/>
      <c r="E115" s="160" t="str">
        <f>INDEX(indicatorCodes,102,1)</f>
        <v>E14</v>
      </c>
      <c r="F115" s="189">
        <f>INDEX(indicators,102,1)</f>
        <v>0</v>
      </c>
      <c r="G115" s="229" t="s">
        <v>152</v>
      </c>
      <c r="H115" s="161"/>
      <c r="I115" s="108" t="str">
        <f>INDEX(indicators,102,2)</f>
        <v>yes</v>
      </c>
      <c r="J115" s="109" t="str">
        <f>INDEX(indicators,102,3)</f>
        <v>partly</v>
      </c>
      <c r="K115" s="110" t="str">
        <f>INDEX(indicators,102,4)</f>
        <v>no</v>
      </c>
      <c r="L115" s="111" t="str">
        <f>INDEX(indicators,102,5)</f>
        <v>n/a</v>
      </c>
      <c r="M115" s="162"/>
      <c r="N115" s="571"/>
      <c r="O115" s="572"/>
    </row>
    <row r="116" spans="1:15" ht="20" hidden="1" customHeight="1" x14ac:dyDescent="0.45">
      <c r="A116" s="14">
        <f>INDEX(Answers,103,ViewStage+1)</f>
        <v>0</v>
      </c>
      <c r="C116" s="79"/>
      <c r="D116" s="80"/>
      <c r="E116" s="160" t="str">
        <f>INDEX(indicatorCodes,103,1)</f>
        <v>E15</v>
      </c>
      <c r="F116" s="189">
        <f>INDEX(indicators,103,1)</f>
        <v>0</v>
      </c>
      <c r="G116" s="229" t="s">
        <v>152</v>
      </c>
      <c r="H116" s="161"/>
      <c r="I116" s="108" t="str">
        <f>INDEX(indicators,103,2)</f>
        <v>yes</v>
      </c>
      <c r="J116" s="109" t="str">
        <f>INDEX(indicators,103,3)</f>
        <v>partly</v>
      </c>
      <c r="K116" s="110" t="str">
        <f>INDEX(indicators,103,4)</f>
        <v>no</v>
      </c>
      <c r="L116" s="111" t="str">
        <f>INDEX(indicators,103,5)</f>
        <v>n/a</v>
      </c>
      <c r="M116" s="162"/>
      <c r="N116" s="571"/>
      <c r="O116" s="572"/>
    </row>
    <row r="117" spans="1:15" ht="20" hidden="1" customHeight="1" x14ac:dyDescent="0.45">
      <c r="A117" s="14">
        <f>INDEX(Answers,104,ViewStage+1)</f>
        <v>0</v>
      </c>
      <c r="C117" s="79"/>
      <c r="D117" s="80"/>
      <c r="E117" s="160" t="str">
        <f>INDEX(indicatorCodes,104,1)</f>
        <v>E16</v>
      </c>
      <c r="F117" s="189">
        <f>INDEX(indicators,104,1)</f>
        <v>0</v>
      </c>
      <c r="G117" s="229" t="s">
        <v>152</v>
      </c>
      <c r="H117" s="161"/>
      <c r="I117" s="108" t="str">
        <f>INDEX(indicators,104,2)</f>
        <v>yes</v>
      </c>
      <c r="J117" s="109" t="str">
        <f>INDEX(indicators,104,3)</f>
        <v>partly</v>
      </c>
      <c r="K117" s="110" t="str">
        <f>INDEX(indicators,104,4)</f>
        <v>no</v>
      </c>
      <c r="L117" s="111" t="str">
        <f>INDEX(indicators,104,5)</f>
        <v>n/a</v>
      </c>
      <c r="M117" s="162"/>
      <c r="N117" s="571"/>
      <c r="O117" s="572"/>
    </row>
    <row r="118" spans="1:15" ht="20" hidden="1" customHeight="1" x14ac:dyDescent="0.2">
      <c r="A118" s="14">
        <f>INDEX(Answers,105,ViewStage+1)</f>
        <v>0</v>
      </c>
      <c r="C118" s="81"/>
      <c r="D118" s="82"/>
      <c r="E118" s="160" t="str">
        <f>INDEX(indicatorCodes,105,1)</f>
        <v>E17</v>
      </c>
      <c r="F118" s="189">
        <f>INDEX(indicators,105,1)</f>
        <v>0</v>
      </c>
      <c r="G118" s="229" t="s">
        <v>152</v>
      </c>
      <c r="H118" s="161"/>
      <c r="I118" s="108" t="str">
        <f>INDEX(indicators,105,2)</f>
        <v>yes</v>
      </c>
      <c r="J118" s="109" t="str">
        <f>INDEX(indicators,105,3)</f>
        <v>partly</v>
      </c>
      <c r="K118" s="110" t="str">
        <f>INDEX(indicators,105,4)</f>
        <v>no</v>
      </c>
      <c r="L118" s="111" t="str">
        <f>INDEX(indicators,105,5)</f>
        <v>n/a</v>
      </c>
      <c r="M118" s="162"/>
      <c r="N118" s="571"/>
      <c r="O118" s="572"/>
    </row>
    <row r="119" spans="1:15" ht="20" hidden="1" customHeight="1" x14ac:dyDescent="0.2">
      <c r="A119" s="14">
        <f>INDEX(Answers,106,ViewStage+1)</f>
        <v>0</v>
      </c>
      <c r="C119" s="81"/>
      <c r="D119" s="82"/>
      <c r="E119" s="160" t="str">
        <f>INDEX(indicatorCodes,106,1)</f>
        <v>E18</v>
      </c>
      <c r="F119" s="189">
        <f>INDEX(indicators,106,1)</f>
        <v>0</v>
      </c>
      <c r="G119" s="229" t="s">
        <v>152</v>
      </c>
      <c r="H119" s="161"/>
      <c r="I119" s="108" t="str">
        <f>INDEX(indicators,106,2)</f>
        <v>yes</v>
      </c>
      <c r="J119" s="109" t="str">
        <f>INDEX(indicators,106,3)</f>
        <v>partly</v>
      </c>
      <c r="K119" s="110" t="str">
        <f>INDEX(indicators,106,4)</f>
        <v>no</v>
      </c>
      <c r="L119" s="111" t="str">
        <f>INDEX(indicators,106,5)</f>
        <v>n/a</v>
      </c>
      <c r="M119" s="162"/>
      <c r="N119" s="571"/>
      <c r="O119" s="572"/>
    </row>
    <row r="120" spans="1:15" ht="20" hidden="1" customHeight="1" x14ac:dyDescent="0.2">
      <c r="A120" s="14">
        <f>INDEX(Answers,107,ViewStage+1)</f>
        <v>0</v>
      </c>
      <c r="C120" s="81"/>
      <c r="D120" s="82"/>
      <c r="E120" s="160" t="str">
        <f>INDEX(indicatorCodes,107,1)</f>
        <v>E19</v>
      </c>
      <c r="F120" s="189">
        <f>INDEX(indicators,107,1)</f>
        <v>0</v>
      </c>
      <c r="G120" s="229" t="s">
        <v>152</v>
      </c>
      <c r="H120" s="161"/>
      <c r="I120" s="108" t="str">
        <f>INDEX(indicators,107,2)</f>
        <v>yes</v>
      </c>
      <c r="J120" s="109" t="str">
        <f>INDEX(indicators,107,3)</f>
        <v>partly</v>
      </c>
      <c r="K120" s="110" t="str">
        <f>INDEX(indicators,107,4)</f>
        <v>no</v>
      </c>
      <c r="L120" s="111" t="str">
        <f>INDEX(indicators,107,5)</f>
        <v>n/a</v>
      </c>
      <c r="M120" s="162"/>
      <c r="N120" s="571"/>
      <c r="O120" s="572"/>
    </row>
    <row r="121" spans="1:15" ht="20" hidden="1" customHeight="1" x14ac:dyDescent="0.2">
      <c r="A121" s="14">
        <f>INDEX(Answers,108,ViewStage+1)</f>
        <v>0</v>
      </c>
      <c r="C121" s="83"/>
      <c r="D121" s="84"/>
      <c r="E121" s="163" t="str">
        <f>INDEX(indicatorCodes,108,1)</f>
        <v>E20</v>
      </c>
      <c r="F121" s="196">
        <f>INDEX(indicators,108,1)</f>
        <v>0</v>
      </c>
      <c r="G121" s="230" t="s">
        <v>152</v>
      </c>
      <c r="H121" s="164"/>
      <c r="I121" s="165" t="str">
        <f>INDEX(indicators,108,2)</f>
        <v>yes</v>
      </c>
      <c r="J121" s="166" t="str">
        <f>INDEX(indicators,108,3)</f>
        <v>partly</v>
      </c>
      <c r="K121" s="167" t="str">
        <f>INDEX(indicators,108,4)</f>
        <v>no</v>
      </c>
      <c r="L121" s="168" t="str">
        <f>INDEX(indicators,108,5)</f>
        <v>n/a</v>
      </c>
      <c r="M121" s="169"/>
      <c r="N121" s="573"/>
      <c r="O121" s="574"/>
    </row>
    <row r="122" spans="1:15" s="271" customFormat="1" ht="30" customHeight="1" x14ac:dyDescent="0.2">
      <c r="A122" s="270">
        <f>INDEX(Answers,109,ViewStage+1)</f>
        <v>0</v>
      </c>
      <c r="C122" s="265"/>
      <c r="D122" s="265"/>
      <c r="E122" s="263">
        <f>INDEX(indicatorCodes,109,1)</f>
        <v>0</v>
      </c>
      <c r="F122" s="279" t="s">
        <v>203</v>
      </c>
      <c r="G122" s="264"/>
      <c r="H122" s="265"/>
      <c r="I122" s="266"/>
      <c r="J122" s="267"/>
      <c r="K122" s="268"/>
      <c r="L122" s="269"/>
      <c r="M122" s="265"/>
      <c r="N122" s="453"/>
      <c r="O122" s="453"/>
    </row>
    <row r="123" spans="1:15" ht="20" hidden="1" customHeight="1" x14ac:dyDescent="0.2">
      <c r="A123" s="14">
        <f>INDEX(Answers,110,ViewStage+1)</f>
        <v>0</v>
      </c>
      <c r="E123" s="97">
        <f>INDEX(indicatorCodes,110,1)</f>
        <v>0</v>
      </c>
      <c r="F123" s="92">
        <f>INDEX(indicators,110,1)</f>
        <v>0</v>
      </c>
      <c r="G123" s="214"/>
      <c r="H123" s="17"/>
      <c r="I123" s="93"/>
      <c r="J123" s="94"/>
      <c r="K123" s="95"/>
      <c r="L123" s="96"/>
      <c r="M123" s="17"/>
      <c r="N123" s="289"/>
      <c r="O123" s="289"/>
    </row>
    <row r="124" spans="1:15" ht="20" customHeight="1" x14ac:dyDescent="0.2">
      <c r="A124" s="14">
        <f>INDEX(Answers,111,ViewStage+1)</f>
        <v>0</v>
      </c>
      <c r="C124" s="593" t="s">
        <v>208</v>
      </c>
      <c r="D124" s="591" t="s">
        <v>215</v>
      </c>
      <c r="E124" s="170" t="str">
        <f>INDEX(indicatorCodes,111,1)</f>
        <v>F1</v>
      </c>
      <c r="F124" s="197" t="str">
        <f>INDEX(indicators,111,1)</f>
        <v>Collaborative approach to risk-sharing across team</v>
      </c>
      <c r="G124" s="231"/>
      <c r="H124" s="172"/>
      <c r="I124" s="173" t="str">
        <f>INDEX(indicators,111,2)</f>
        <v>yes</v>
      </c>
      <c r="J124" s="174" t="str">
        <f>INDEX(indicators,111,3)</f>
        <v>partly</v>
      </c>
      <c r="K124" s="175" t="str">
        <f>INDEX(indicators,111,4)</f>
        <v>no</v>
      </c>
      <c r="L124" s="176" t="str">
        <f>INDEX(indicators,111,5)</f>
        <v>n/a</v>
      </c>
      <c r="M124" s="171"/>
      <c r="N124" s="569"/>
      <c r="O124" s="570"/>
    </row>
    <row r="125" spans="1:15" ht="20" customHeight="1" x14ac:dyDescent="0.2">
      <c r="A125" s="14">
        <f>INDEX(Answers,112,ViewStage+1)</f>
        <v>0</v>
      </c>
      <c r="C125" s="594"/>
      <c r="D125" s="592"/>
      <c r="E125" s="177" t="str">
        <f>INDEX(indicatorCodes,112,1)</f>
        <v>F2</v>
      </c>
      <c r="F125" s="189" t="str">
        <f>INDEX(indicators,112,1)</f>
        <v>Design responsibility matrix coordinated between all parties</v>
      </c>
      <c r="G125" s="232"/>
      <c r="H125" s="179"/>
      <c r="I125" s="108" t="str">
        <f>INDEX(indicators,112,2)</f>
        <v>yes</v>
      </c>
      <c r="J125" s="109" t="str">
        <f>INDEX(indicators,112,3)</f>
        <v>partly</v>
      </c>
      <c r="K125" s="110" t="str">
        <f>INDEX(indicators,112,4)</f>
        <v>no</v>
      </c>
      <c r="L125" s="111" t="str">
        <f>INDEX(indicators,112,5)</f>
        <v>n/a</v>
      </c>
      <c r="M125" s="178"/>
      <c r="N125" s="565"/>
      <c r="O125" s="566"/>
    </row>
    <row r="126" spans="1:15" ht="20" customHeight="1" x14ac:dyDescent="0.2">
      <c r="A126" s="14">
        <f>INDEX(Answers,113,ViewStage+1)</f>
        <v>0</v>
      </c>
      <c r="C126" s="617" t="s">
        <v>234</v>
      </c>
      <c r="D126" s="618"/>
      <c r="E126" s="177" t="str">
        <f>INDEX(indicatorCodes,113,1)</f>
        <v>F3</v>
      </c>
      <c r="F126" s="189" t="str">
        <f>INDEX(indicators,113,1)</f>
        <v>Open-book arrangements on costs and margins</v>
      </c>
      <c r="G126" s="232"/>
      <c r="H126" s="179"/>
      <c r="I126" s="108" t="str">
        <f>INDEX(indicators,113,2)</f>
        <v>yes</v>
      </c>
      <c r="J126" s="109" t="str">
        <f>INDEX(indicators,113,3)</f>
        <v>partly</v>
      </c>
      <c r="K126" s="110" t="str">
        <f>INDEX(indicators,113,4)</f>
        <v>no</v>
      </c>
      <c r="L126" s="111" t="str">
        <f>INDEX(indicators,113,5)</f>
        <v>n/a</v>
      </c>
      <c r="M126" s="178"/>
      <c r="N126" s="565"/>
      <c r="O126" s="566"/>
    </row>
    <row r="127" spans="1:15" ht="20" customHeight="1" x14ac:dyDescent="0.2">
      <c r="A127" s="14">
        <f>INDEX(Answers,114,ViewStage+1)</f>
        <v>0</v>
      </c>
      <c r="C127" s="617"/>
      <c r="D127" s="618"/>
      <c r="E127" s="177" t="str">
        <f>INDEX(indicatorCodes,114,1)</f>
        <v>F4</v>
      </c>
      <c r="F127" s="189" t="str">
        <f>INDEX(indicators,114,1)</f>
        <v>Transparent methodology for allocating costs between parties</v>
      </c>
      <c r="G127" s="232"/>
      <c r="H127" s="179"/>
      <c r="I127" s="108" t="str">
        <f>INDEX(indicators,114,2)</f>
        <v>yes</v>
      </c>
      <c r="J127" s="109" t="str">
        <f>INDEX(indicators,114,3)</f>
        <v>partly</v>
      </c>
      <c r="K127" s="110" t="str">
        <f>INDEX(indicators,114,4)</f>
        <v>no</v>
      </c>
      <c r="L127" s="111" t="str">
        <f>INDEX(indicators,114,5)</f>
        <v>n/a</v>
      </c>
      <c r="M127" s="178"/>
      <c r="N127" s="565"/>
      <c r="O127" s="566"/>
    </row>
    <row r="128" spans="1:15" ht="20" customHeight="1" x14ac:dyDescent="0.2">
      <c r="A128" s="14">
        <f>INDEX(Answers,115,ViewStage+1)</f>
        <v>4</v>
      </c>
      <c r="C128" s="617"/>
      <c r="D128" s="618"/>
      <c r="E128" s="177" t="str">
        <f>INDEX(indicatorCodes,115,1)</f>
        <v>F5</v>
      </c>
      <c r="F128" s="189" t="str">
        <f>INDEX(indicators,115,1)</f>
        <v>Client shares responsibility for risks beyond contractor's control</v>
      </c>
      <c r="G128" s="232"/>
      <c r="H128" s="179"/>
      <c r="I128" s="108" t="str">
        <f>INDEX(indicators,115,2)</f>
        <v>yes</v>
      </c>
      <c r="J128" s="109" t="str">
        <f>INDEX(indicators,115,3)</f>
        <v>partly</v>
      </c>
      <c r="K128" s="110" t="str">
        <f>INDEX(indicators,115,4)</f>
        <v>no</v>
      </c>
      <c r="L128" s="111" t="str">
        <f>INDEX(indicators,115,5)</f>
        <v>n/a</v>
      </c>
      <c r="M128" s="178"/>
      <c r="N128" s="565"/>
      <c r="O128" s="566"/>
    </row>
    <row r="129" spans="1:15" ht="20" customHeight="1" x14ac:dyDescent="0.2">
      <c r="A129" s="14">
        <f>INDEX(Answers,116,ViewStage+1)</f>
        <v>4</v>
      </c>
      <c r="C129" s="617"/>
      <c r="D129" s="618"/>
      <c r="E129" s="177" t="str">
        <f>INDEX(indicatorCodes,116,1)</f>
        <v>F6</v>
      </c>
      <c r="F129" s="189" t="str">
        <f>INDEX(indicators,116,1)</f>
        <v>Coordinated contractual arrangements between trade contractors</v>
      </c>
      <c r="G129" s="232"/>
      <c r="H129" s="179"/>
      <c r="I129" s="108" t="str">
        <f>INDEX(indicators,116,2)</f>
        <v>yes</v>
      </c>
      <c r="J129" s="109" t="str">
        <f>INDEX(indicators,116,3)</f>
        <v>partly</v>
      </c>
      <c r="K129" s="110" t="str">
        <f>INDEX(indicators,116,4)</f>
        <v>no</v>
      </c>
      <c r="L129" s="111" t="str">
        <f>INDEX(indicators,116,5)</f>
        <v>n/a</v>
      </c>
      <c r="M129" s="178"/>
      <c r="N129" s="565"/>
      <c r="O129" s="566"/>
    </row>
    <row r="130" spans="1:15" ht="20" customHeight="1" x14ac:dyDescent="0.2">
      <c r="A130" s="14">
        <f>INDEX(Answers,117,ViewStage+1)</f>
        <v>0</v>
      </c>
      <c r="C130" s="617"/>
      <c r="D130" s="618"/>
      <c r="E130" s="177" t="str">
        <f>INDEX(indicatorCodes,117,1)</f>
        <v>F7</v>
      </c>
      <c r="F130" s="189" t="str">
        <f>INDEX(indicators,117,1)</f>
        <v>Partnering / alliancing contracts and integrated project insurance</v>
      </c>
      <c r="G130" s="232"/>
      <c r="H130" s="179"/>
      <c r="I130" s="108" t="str">
        <f>INDEX(indicators,117,2)</f>
        <v>yes</v>
      </c>
      <c r="J130" s="109" t="str">
        <f>INDEX(indicators,117,3)</f>
        <v>partly</v>
      </c>
      <c r="K130" s="110" t="str">
        <f>INDEX(indicators,117,4)</f>
        <v>no</v>
      </c>
      <c r="L130" s="111" t="str">
        <f>INDEX(indicators,117,5)</f>
        <v>n/a</v>
      </c>
      <c r="M130" s="178"/>
      <c r="N130" s="565"/>
      <c r="O130" s="566"/>
    </row>
    <row r="131" spans="1:15" ht="20" customHeight="1" x14ac:dyDescent="0.2">
      <c r="A131" s="14">
        <f>INDEX(Answers,118,ViewStage+1)</f>
        <v>0</v>
      </c>
      <c r="C131" s="617"/>
      <c r="D131" s="618"/>
      <c r="E131" s="177" t="str">
        <f>INDEX(indicatorCodes,118,1)</f>
        <v>F8</v>
      </c>
      <c r="F131" s="189" t="str">
        <f>INDEX(indicators,118,1)</f>
        <v>Project team has experience of working collaboratively</v>
      </c>
      <c r="G131" s="232"/>
      <c r="H131" s="179"/>
      <c r="I131" s="108" t="str">
        <f>INDEX(indicators,118,2)</f>
        <v>yes</v>
      </c>
      <c r="J131" s="109" t="str">
        <f>INDEX(indicators,118,3)</f>
        <v>partly</v>
      </c>
      <c r="K131" s="110" t="str">
        <f>INDEX(indicators,118,4)</f>
        <v>no</v>
      </c>
      <c r="L131" s="111" t="str">
        <f>INDEX(indicators,118,5)</f>
        <v>n/a</v>
      </c>
      <c r="M131" s="178"/>
      <c r="N131" s="565"/>
      <c r="O131" s="566"/>
    </row>
    <row r="132" spans="1:15" ht="20" hidden="1" customHeight="1" x14ac:dyDescent="0.2">
      <c r="A132" s="14">
        <f>INDEX(Answers,119,ViewStage+1)</f>
        <v>0</v>
      </c>
      <c r="C132" s="207"/>
      <c r="D132" s="208"/>
      <c r="E132" s="177" t="str">
        <f>INDEX(indicatorCodes,119,1)</f>
        <v>F9</v>
      </c>
      <c r="F132" s="189">
        <f>INDEX(indicators,119,1)</f>
        <v>0</v>
      </c>
      <c r="G132" s="233" t="s">
        <v>152</v>
      </c>
      <c r="H132" s="179"/>
      <c r="I132" s="108" t="str">
        <f>INDEX(indicators,119,2)</f>
        <v>yes</v>
      </c>
      <c r="J132" s="109" t="str">
        <f>INDEX(indicators,119,3)</f>
        <v>partly</v>
      </c>
      <c r="K132" s="110" t="str">
        <f>INDEX(indicators,119,4)</f>
        <v>no</v>
      </c>
      <c r="L132" s="111" t="str">
        <f>INDEX(indicators,119,5)</f>
        <v>n/a</v>
      </c>
      <c r="M132" s="178"/>
      <c r="N132" s="565"/>
      <c r="O132" s="566"/>
    </row>
    <row r="133" spans="1:15" ht="20" hidden="1" customHeight="1" x14ac:dyDescent="0.2">
      <c r="A133" s="14">
        <f>INDEX(Answers,120,ViewStage+1)</f>
        <v>0</v>
      </c>
      <c r="C133" s="207"/>
      <c r="D133" s="208"/>
      <c r="E133" s="177" t="str">
        <f>INDEX(indicatorCodes,120,1)</f>
        <v>F10</v>
      </c>
      <c r="F133" s="189">
        <f>INDEX(indicators,120,1)</f>
        <v>0</v>
      </c>
      <c r="G133" s="233" t="s">
        <v>152</v>
      </c>
      <c r="H133" s="179"/>
      <c r="I133" s="108" t="str">
        <f>INDEX(indicators,120,2)</f>
        <v>yes</v>
      </c>
      <c r="J133" s="109" t="str">
        <f>INDEX(indicators,120,3)</f>
        <v>partly</v>
      </c>
      <c r="K133" s="110" t="str">
        <f>INDEX(indicators,120,4)</f>
        <v>no</v>
      </c>
      <c r="L133" s="111" t="str">
        <f>INDEX(indicators,120,5)</f>
        <v>n/a</v>
      </c>
      <c r="M133" s="178"/>
      <c r="N133" s="565"/>
      <c r="O133" s="566"/>
    </row>
    <row r="134" spans="1:15" ht="20" hidden="1" customHeight="1" x14ac:dyDescent="0.2">
      <c r="A134" s="14">
        <f>INDEX(Answers,121,ViewStage+1)</f>
        <v>0</v>
      </c>
      <c r="C134" s="207"/>
      <c r="D134" s="208"/>
      <c r="E134" s="177" t="str">
        <f>INDEX(indicatorCodes,121,1)</f>
        <v>F11</v>
      </c>
      <c r="F134" s="189">
        <f>INDEX(indicators,121,1)</f>
        <v>0</v>
      </c>
      <c r="G134" s="233" t="s">
        <v>152</v>
      </c>
      <c r="H134" s="179"/>
      <c r="I134" s="108" t="str">
        <f>INDEX(indicators,121,2)</f>
        <v>yes</v>
      </c>
      <c r="J134" s="109" t="str">
        <f>INDEX(indicators,121,3)</f>
        <v>partly</v>
      </c>
      <c r="K134" s="110" t="str">
        <f>INDEX(indicators,121,4)</f>
        <v>no</v>
      </c>
      <c r="L134" s="111" t="str">
        <f>INDEX(indicators,121,5)</f>
        <v>n/a</v>
      </c>
      <c r="M134" s="178"/>
      <c r="N134" s="565"/>
      <c r="O134" s="566"/>
    </row>
    <row r="135" spans="1:15" ht="20" hidden="1" customHeight="1" x14ac:dyDescent="0.2">
      <c r="A135" s="14">
        <f>INDEX(Answers,122,ViewStage+1)</f>
        <v>0</v>
      </c>
      <c r="C135" s="207"/>
      <c r="D135" s="208"/>
      <c r="E135" s="177" t="str">
        <f>INDEX(indicatorCodes,122,1)</f>
        <v>F12</v>
      </c>
      <c r="F135" s="189">
        <f>INDEX(indicators,122,1)</f>
        <v>0</v>
      </c>
      <c r="G135" s="233" t="s">
        <v>152</v>
      </c>
      <c r="H135" s="179"/>
      <c r="I135" s="108" t="str">
        <f>INDEX(indicators,122,2)</f>
        <v>yes</v>
      </c>
      <c r="J135" s="109" t="str">
        <f>INDEX(indicators,122,3)</f>
        <v>partly</v>
      </c>
      <c r="K135" s="110" t="str">
        <f>INDEX(indicators,122,4)</f>
        <v>no</v>
      </c>
      <c r="L135" s="111" t="str">
        <f>INDEX(indicators,122,5)</f>
        <v>n/a</v>
      </c>
      <c r="M135" s="178"/>
      <c r="N135" s="565"/>
      <c r="O135" s="566"/>
    </row>
    <row r="136" spans="1:15" ht="20" hidden="1" customHeight="1" x14ac:dyDescent="0.45">
      <c r="A136" s="14">
        <f>INDEX(Answers,123,ViewStage+1)</f>
        <v>0</v>
      </c>
      <c r="C136" s="85"/>
      <c r="D136" s="86"/>
      <c r="E136" s="177" t="str">
        <f>INDEX(indicatorCodes,123,1)</f>
        <v>F13</v>
      </c>
      <c r="F136" s="189">
        <f>INDEX(indicators,123,1)</f>
        <v>0</v>
      </c>
      <c r="G136" s="233" t="s">
        <v>152</v>
      </c>
      <c r="H136" s="179"/>
      <c r="I136" s="108" t="str">
        <f>INDEX(indicators,123,2)</f>
        <v>yes</v>
      </c>
      <c r="J136" s="109" t="str">
        <f>INDEX(indicators,123,3)</f>
        <v>partly</v>
      </c>
      <c r="K136" s="110" t="str">
        <f>INDEX(indicators,123,4)</f>
        <v>no</v>
      </c>
      <c r="L136" s="111" t="str">
        <f>INDEX(indicators,123,5)</f>
        <v>n/a</v>
      </c>
      <c r="M136" s="178"/>
      <c r="N136" s="565"/>
      <c r="O136" s="566"/>
    </row>
    <row r="137" spans="1:15" ht="20" hidden="1" customHeight="1" x14ac:dyDescent="0.45">
      <c r="A137" s="14">
        <f>INDEX(Answers,124,ViewStage+1)</f>
        <v>0</v>
      </c>
      <c r="C137" s="85"/>
      <c r="D137" s="86"/>
      <c r="E137" s="177" t="str">
        <f>INDEX(indicatorCodes,124,1)</f>
        <v>F14</v>
      </c>
      <c r="F137" s="189">
        <f>INDEX(indicators,124,1)</f>
        <v>0</v>
      </c>
      <c r="G137" s="233" t="s">
        <v>152</v>
      </c>
      <c r="H137" s="179"/>
      <c r="I137" s="108" t="str">
        <f>INDEX(indicators,124,2)</f>
        <v>yes</v>
      </c>
      <c r="J137" s="109" t="str">
        <f>INDEX(indicators,124,3)</f>
        <v>partly</v>
      </c>
      <c r="K137" s="110" t="str">
        <f>INDEX(indicators,124,4)</f>
        <v>no</v>
      </c>
      <c r="L137" s="111" t="str">
        <f>INDEX(indicators,124,5)</f>
        <v>n/a</v>
      </c>
      <c r="M137" s="178"/>
      <c r="N137" s="565"/>
      <c r="O137" s="566"/>
    </row>
    <row r="138" spans="1:15" ht="20" hidden="1" customHeight="1" x14ac:dyDescent="0.45">
      <c r="A138" s="14">
        <f>INDEX(Answers,125,ViewStage+1)</f>
        <v>0</v>
      </c>
      <c r="C138" s="85"/>
      <c r="D138" s="86"/>
      <c r="E138" s="177" t="str">
        <f>INDEX(indicatorCodes,125,1)</f>
        <v>F15</v>
      </c>
      <c r="F138" s="189">
        <f>INDEX(indicators,125,1)</f>
        <v>0</v>
      </c>
      <c r="G138" s="233" t="s">
        <v>152</v>
      </c>
      <c r="H138" s="179"/>
      <c r="I138" s="108" t="str">
        <f>INDEX(indicators,125,2)</f>
        <v>yes</v>
      </c>
      <c r="J138" s="109" t="str">
        <f>INDEX(indicators,125,3)</f>
        <v>partly</v>
      </c>
      <c r="K138" s="110" t="str">
        <f>INDEX(indicators,125,4)</f>
        <v>no</v>
      </c>
      <c r="L138" s="111" t="str">
        <f>INDEX(indicators,125,5)</f>
        <v>n/a</v>
      </c>
      <c r="M138" s="178"/>
      <c r="N138" s="565"/>
      <c r="O138" s="566"/>
    </row>
    <row r="139" spans="1:15" ht="20" hidden="1" customHeight="1" x14ac:dyDescent="0.45">
      <c r="A139" s="14">
        <f>INDEX(Answers,126,ViewStage+1)</f>
        <v>0</v>
      </c>
      <c r="C139" s="85"/>
      <c r="D139" s="86"/>
      <c r="E139" s="177" t="str">
        <f>INDEX(indicatorCodes,126,1)</f>
        <v>F16</v>
      </c>
      <c r="F139" s="189">
        <f>INDEX(indicators,126,1)</f>
        <v>0</v>
      </c>
      <c r="G139" s="233" t="s">
        <v>152</v>
      </c>
      <c r="H139" s="179"/>
      <c r="I139" s="108" t="str">
        <f>INDEX(indicators,126,2)</f>
        <v>yes</v>
      </c>
      <c r="J139" s="109" t="str">
        <f>INDEX(indicators,126,3)</f>
        <v>partly</v>
      </c>
      <c r="K139" s="110" t="str">
        <f>INDEX(indicators,126,4)</f>
        <v>no</v>
      </c>
      <c r="L139" s="111" t="str">
        <f>INDEX(indicators,126,5)</f>
        <v>n/a</v>
      </c>
      <c r="M139" s="178"/>
      <c r="N139" s="565"/>
      <c r="O139" s="566"/>
    </row>
    <row r="140" spans="1:15" ht="20" hidden="1" customHeight="1" x14ac:dyDescent="0.2">
      <c r="A140" s="14">
        <f>INDEX(Answers,127,ViewStage+1)</f>
        <v>0</v>
      </c>
      <c r="C140" s="87"/>
      <c r="D140" s="88"/>
      <c r="E140" s="177" t="str">
        <f>INDEX(indicatorCodes,127,1)</f>
        <v>F17</v>
      </c>
      <c r="F140" s="189">
        <f>INDEX(indicators,127,1)</f>
        <v>0</v>
      </c>
      <c r="G140" s="233" t="s">
        <v>152</v>
      </c>
      <c r="H140" s="179"/>
      <c r="I140" s="108" t="str">
        <f>INDEX(indicators,127,2)</f>
        <v>yes</v>
      </c>
      <c r="J140" s="109" t="str">
        <f>INDEX(indicators,127,3)</f>
        <v>partly</v>
      </c>
      <c r="K140" s="110" t="str">
        <f>INDEX(indicators,127,4)</f>
        <v>no</v>
      </c>
      <c r="L140" s="111" t="str">
        <f>INDEX(indicators,127,5)</f>
        <v>n/a</v>
      </c>
      <c r="M140" s="178"/>
      <c r="N140" s="565"/>
      <c r="O140" s="566"/>
    </row>
    <row r="141" spans="1:15" ht="20" hidden="1" customHeight="1" x14ac:dyDescent="0.2">
      <c r="A141" s="14">
        <f>INDEX(Answers,128,ViewStage+1)</f>
        <v>0</v>
      </c>
      <c r="C141" s="87"/>
      <c r="D141" s="88"/>
      <c r="E141" s="177" t="str">
        <f>INDEX(indicatorCodes,128,1)</f>
        <v>F18</v>
      </c>
      <c r="F141" s="189">
        <f>INDEX(indicators,128,1)</f>
        <v>0</v>
      </c>
      <c r="G141" s="233" t="s">
        <v>152</v>
      </c>
      <c r="H141" s="179"/>
      <c r="I141" s="108" t="str">
        <f>INDEX(indicators,128,2)</f>
        <v>yes</v>
      </c>
      <c r="J141" s="109" t="str">
        <f>INDEX(indicators,128,3)</f>
        <v>partly</v>
      </c>
      <c r="K141" s="110" t="str">
        <f>INDEX(indicators,128,4)</f>
        <v>no</v>
      </c>
      <c r="L141" s="111" t="str">
        <f>INDEX(indicators,128,5)</f>
        <v>n/a</v>
      </c>
      <c r="M141" s="178"/>
      <c r="N141" s="565"/>
      <c r="O141" s="566"/>
    </row>
    <row r="142" spans="1:15" ht="20" hidden="1" customHeight="1" x14ac:dyDescent="0.2">
      <c r="A142" s="14">
        <f>INDEX(Answers,129,ViewStage+1)</f>
        <v>0</v>
      </c>
      <c r="C142" s="87"/>
      <c r="D142" s="88"/>
      <c r="E142" s="177" t="str">
        <f>INDEX(indicatorCodes,129,1)</f>
        <v>F19</v>
      </c>
      <c r="F142" s="189">
        <f>INDEX(indicators,129,1)</f>
        <v>0</v>
      </c>
      <c r="G142" s="233" t="s">
        <v>152</v>
      </c>
      <c r="H142" s="179"/>
      <c r="I142" s="108" t="str">
        <f>INDEX(indicators,129,2)</f>
        <v>yes</v>
      </c>
      <c r="J142" s="109" t="str">
        <f>INDEX(indicators,129,3)</f>
        <v>partly</v>
      </c>
      <c r="K142" s="110" t="str">
        <f>INDEX(indicators,129,4)</f>
        <v>no</v>
      </c>
      <c r="L142" s="111" t="str">
        <f>INDEX(indicators,129,5)</f>
        <v>n/a</v>
      </c>
      <c r="M142" s="178"/>
      <c r="N142" s="565"/>
      <c r="O142" s="566"/>
    </row>
    <row r="143" spans="1:15" ht="20" hidden="1" customHeight="1" x14ac:dyDescent="0.2">
      <c r="A143" s="14">
        <f>INDEX(Answers,130,ViewStage+1)</f>
        <v>0</v>
      </c>
      <c r="C143" s="89"/>
      <c r="D143" s="90"/>
      <c r="E143" s="180" t="str">
        <f>INDEX(indicatorCodes,130,1)</f>
        <v>F20</v>
      </c>
      <c r="F143" s="198">
        <f>INDEX(indicators,130,1)</f>
        <v>0</v>
      </c>
      <c r="G143" s="234" t="s">
        <v>152</v>
      </c>
      <c r="H143" s="181"/>
      <c r="I143" s="182" t="str">
        <f>INDEX(indicators,130,2)</f>
        <v>yes</v>
      </c>
      <c r="J143" s="183" t="str">
        <f>INDEX(indicators,130,3)</f>
        <v>partly</v>
      </c>
      <c r="K143" s="184" t="str">
        <f>INDEX(indicators,130,4)</f>
        <v>no</v>
      </c>
      <c r="L143" s="185" t="str">
        <f>INDEX(indicators,130,5)</f>
        <v>n/a</v>
      </c>
      <c r="M143" s="186"/>
      <c r="N143" s="567"/>
      <c r="O143" s="568"/>
    </row>
    <row r="144" spans="1:15" s="271" customFormat="1" ht="30" customHeight="1" thickBot="1" x14ac:dyDescent="0.25">
      <c r="A144" s="270">
        <f>INDEX(Answers,131,ViewStage+1)</f>
        <v>0</v>
      </c>
      <c r="C144" s="272"/>
      <c r="D144" s="272"/>
      <c r="E144" s="273">
        <f>INDEX(indicatorCodes,131,1)</f>
        <v>0</v>
      </c>
      <c r="F144" s="280" t="s">
        <v>203</v>
      </c>
      <c r="G144" s="274"/>
      <c r="H144" s="272"/>
      <c r="I144" s="273"/>
      <c r="J144" s="273"/>
      <c r="K144" s="273"/>
      <c r="L144" s="273"/>
      <c r="M144" s="527"/>
      <c r="N144" s="528"/>
      <c r="O144" s="528"/>
    </row>
    <row r="145" spans="3:18" ht="8" customHeight="1" thickTop="1" x14ac:dyDescent="0.2">
      <c r="C145" s="500"/>
      <c r="D145" s="501"/>
      <c r="E145" s="502"/>
      <c r="F145" s="503"/>
      <c r="G145" s="504"/>
      <c r="H145" s="501"/>
      <c r="I145" s="505"/>
      <c r="J145" s="505"/>
      <c r="K145" s="505"/>
      <c r="L145" s="505"/>
      <c r="M145" s="501"/>
      <c r="N145" s="501"/>
      <c r="O145" s="506"/>
    </row>
    <row r="146" spans="3:18" x14ac:dyDescent="0.2">
      <c r="C146" s="507"/>
      <c r="D146" s="508" t="s">
        <v>217</v>
      </c>
      <c r="E146" s="509"/>
      <c r="F146" s="510" t="s">
        <v>243</v>
      </c>
      <c r="G146" s="511"/>
      <c r="H146" s="563" t="s">
        <v>244</v>
      </c>
      <c r="I146" s="563"/>
      <c r="J146" s="563"/>
      <c r="K146" s="563"/>
      <c r="L146" s="563"/>
      <c r="M146" s="512"/>
      <c r="N146" s="513" t="s">
        <v>238</v>
      </c>
      <c r="O146" s="514" t="s">
        <v>218</v>
      </c>
    </row>
    <row r="147" spans="3:18" ht="8" customHeight="1" x14ac:dyDescent="0.2">
      <c r="C147" s="507"/>
      <c r="D147" s="515"/>
      <c r="E147" s="516"/>
      <c r="F147" s="454"/>
      <c r="G147" s="489"/>
      <c r="H147" s="6"/>
      <c r="I147" s="487"/>
      <c r="J147" s="487"/>
      <c r="K147" s="487"/>
      <c r="L147" s="487"/>
      <c r="M147" s="6"/>
      <c r="N147" s="6"/>
      <c r="O147" s="517"/>
    </row>
    <row r="148" spans="3:18" ht="30" customHeight="1" thickBot="1" x14ac:dyDescent="0.25">
      <c r="C148" s="507"/>
      <c r="D148" s="498" t="s">
        <v>155</v>
      </c>
      <c r="E148" s="492"/>
      <c r="F148" s="496"/>
      <c r="G148" s="490"/>
      <c r="H148" s="564"/>
      <c r="I148" s="564"/>
      <c r="J148" s="564"/>
      <c r="K148" s="564"/>
      <c r="L148" s="564"/>
      <c r="M148" s="491"/>
      <c r="N148" s="491">
        <f>INDEX(StageDetail2,1)</f>
        <v>0</v>
      </c>
      <c r="O148" s="518">
        <f>INDEX(StageDetail,1)</f>
        <v>0</v>
      </c>
      <c r="P148" s="488"/>
      <c r="Q148" s="488"/>
      <c r="R148" s="488"/>
    </row>
    <row r="149" spans="3:18" ht="30" customHeight="1" thickBot="1" x14ac:dyDescent="0.25">
      <c r="C149" s="507"/>
      <c r="D149" s="499" t="s">
        <v>240</v>
      </c>
      <c r="E149" s="495"/>
      <c r="F149" s="497"/>
      <c r="G149" s="493"/>
      <c r="H149" s="559"/>
      <c r="I149" s="559"/>
      <c r="J149" s="559"/>
      <c r="K149" s="559"/>
      <c r="L149" s="559"/>
      <c r="M149" s="494"/>
      <c r="N149" s="491">
        <f>INDEX(StageDetail2,2)</f>
        <v>0</v>
      </c>
      <c r="O149" s="519">
        <f>INDEX(StageDetail,2)</f>
        <v>0</v>
      </c>
      <c r="P149" s="488"/>
      <c r="Q149" s="488"/>
      <c r="R149" s="488"/>
    </row>
    <row r="150" spans="3:18" ht="30" customHeight="1" thickBot="1" x14ac:dyDescent="0.25">
      <c r="C150" s="507"/>
      <c r="D150" s="499" t="s">
        <v>156</v>
      </c>
      <c r="E150" s="495"/>
      <c r="F150" s="497"/>
      <c r="G150" s="493"/>
      <c r="H150" s="559"/>
      <c r="I150" s="559"/>
      <c r="J150" s="559"/>
      <c r="K150" s="559"/>
      <c r="L150" s="559"/>
      <c r="M150" s="494"/>
      <c r="N150" s="491">
        <f>INDEX(StageDetail2,3)</f>
        <v>0</v>
      </c>
      <c r="O150" s="519">
        <f>INDEX(StageDetail,3)</f>
        <v>0</v>
      </c>
      <c r="P150" s="488"/>
      <c r="Q150" s="488"/>
      <c r="R150" s="488"/>
    </row>
    <row r="151" spans="3:18" ht="30" customHeight="1" thickBot="1" x14ac:dyDescent="0.25">
      <c r="C151" s="507"/>
      <c r="D151" s="499" t="s">
        <v>157</v>
      </c>
      <c r="E151" s="495"/>
      <c r="F151" s="497"/>
      <c r="G151" s="493"/>
      <c r="H151" s="559"/>
      <c r="I151" s="559"/>
      <c r="J151" s="559"/>
      <c r="K151" s="559"/>
      <c r="L151" s="559"/>
      <c r="M151" s="494"/>
      <c r="N151" s="491">
        <f>INDEX(StageDetail2,4)</f>
        <v>0</v>
      </c>
      <c r="O151" s="519">
        <f>INDEX(StageDetail,4)</f>
        <v>0</v>
      </c>
      <c r="P151" s="488"/>
      <c r="Q151" s="488"/>
      <c r="R151" s="488"/>
    </row>
    <row r="152" spans="3:18" ht="19" thickBot="1" x14ac:dyDescent="0.25">
      <c r="C152" s="520"/>
      <c r="D152" s="521"/>
      <c r="E152" s="522"/>
      <c r="F152" s="523"/>
      <c r="G152" s="524"/>
      <c r="H152" s="521"/>
      <c r="I152" s="525"/>
      <c r="J152" s="525"/>
      <c r="K152" s="525"/>
      <c r="L152" s="525"/>
      <c r="M152" s="521"/>
      <c r="N152" s="521"/>
      <c r="O152" s="526"/>
    </row>
    <row r="153" spans="3:18" ht="19" thickTop="1" x14ac:dyDescent="0.2"/>
  </sheetData>
  <mergeCells count="158">
    <mergeCell ref="C11:D11"/>
    <mergeCell ref="C1:D1"/>
    <mergeCell ref="I11:L11"/>
    <mergeCell ref="I12:L12"/>
    <mergeCell ref="I8:L8"/>
    <mergeCell ref="I3:L3"/>
    <mergeCell ref="I4:L4"/>
    <mergeCell ref="C126:D131"/>
    <mergeCell ref="C14:C15"/>
    <mergeCell ref="D14:D15"/>
    <mergeCell ref="D36:D37"/>
    <mergeCell ref="C36:C37"/>
    <mergeCell ref="C58:C59"/>
    <mergeCell ref="D58:D59"/>
    <mergeCell ref="D80:D81"/>
    <mergeCell ref="C80:C81"/>
    <mergeCell ref="F9:F10"/>
    <mergeCell ref="D102:D103"/>
    <mergeCell ref="C102:C103"/>
    <mergeCell ref="C104:D109"/>
    <mergeCell ref="C38:D44"/>
    <mergeCell ref="I5:L5"/>
    <mergeCell ref="I6:L6"/>
    <mergeCell ref="I7:L7"/>
    <mergeCell ref="C9:D10"/>
    <mergeCell ref="N14:O14"/>
    <mergeCell ref="N15:O15"/>
    <mergeCell ref="N16:O16"/>
    <mergeCell ref="N17:O17"/>
    <mergeCell ref="N18:O18"/>
    <mergeCell ref="C82:D88"/>
    <mergeCell ref="C16:D22"/>
    <mergeCell ref="C60:D66"/>
    <mergeCell ref="N48:O48"/>
    <mergeCell ref="N49:O49"/>
    <mergeCell ref="N50:O50"/>
    <mergeCell ref="N41:O41"/>
    <mergeCell ref="N42:O42"/>
    <mergeCell ref="N43:O43"/>
    <mergeCell ref="N44:O44"/>
    <mergeCell ref="N45:O45"/>
    <mergeCell ref="N58:O58"/>
    <mergeCell ref="N59:O59"/>
    <mergeCell ref="N60:O60"/>
    <mergeCell ref="N61:O61"/>
    <mergeCell ref="N62:O62"/>
    <mergeCell ref="N51:O51"/>
    <mergeCell ref="N52:O52"/>
    <mergeCell ref="D124:D125"/>
    <mergeCell ref="C124:C125"/>
    <mergeCell ref="N24:O24"/>
    <mergeCell ref="N25:O25"/>
    <mergeCell ref="N26:O26"/>
    <mergeCell ref="N27:O27"/>
    <mergeCell ref="N28:O28"/>
    <mergeCell ref="N19:O19"/>
    <mergeCell ref="N20:O20"/>
    <mergeCell ref="N21:O21"/>
    <mergeCell ref="N22:O22"/>
    <mergeCell ref="N23:O23"/>
    <mergeCell ref="N36:O36"/>
    <mergeCell ref="N37:O37"/>
    <mergeCell ref="N38:O38"/>
    <mergeCell ref="N39:O39"/>
    <mergeCell ref="N40:O40"/>
    <mergeCell ref="N29:O29"/>
    <mergeCell ref="N30:O30"/>
    <mergeCell ref="N31:O31"/>
    <mergeCell ref="N32:O32"/>
    <mergeCell ref="N33:O33"/>
    <mergeCell ref="N46:O46"/>
    <mergeCell ref="N47:O47"/>
    <mergeCell ref="N53:O53"/>
    <mergeCell ref="N54:O54"/>
    <mergeCell ref="N55:O55"/>
    <mergeCell ref="N68:O68"/>
    <mergeCell ref="N69:O69"/>
    <mergeCell ref="N70:O70"/>
    <mergeCell ref="N71:O71"/>
    <mergeCell ref="N72:O72"/>
    <mergeCell ref="N63:O63"/>
    <mergeCell ref="N64:O64"/>
    <mergeCell ref="N65:O65"/>
    <mergeCell ref="N66:O66"/>
    <mergeCell ref="N67:O67"/>
    <mergeCell ref="N80:O80"/>
    <mergeCell ref="N81:O81"/>
    <mergeCell ref="N82:O82"/>
    <mergeCell ref="N83:O83"/>
    <mergeCell ref="N84:O84"/>
    <mergeCell ref="N73:O73"/>
    <mergeCell ref="N74:O74"/>
    <mergeCell ref="N75:O75"/>
    <mergeCell ref="N76:O76"/>
    <mergeCell ref="N77:O77"/>
    <mergeCell ref="N90:O90"/>
    <mergeCell ref="N91:O91"/>
    <mergeCell ref="N92:O92"/>
    <mergeCell ref="N93:O93"/>
    <mergeCell ref="N94:O94"/>
    <mergeCell ref="N85:O85"/>
    <mergeCell ref="N86:O86"/>
    <mergeCell ref="N87:O87"/>
    <mergeCell ref="N88:O88"/>
    <mergeCell ref="N89:O89"/>
    <mergeCell ref="N102:O102"/>
    <mergeCell ref="N103:O103"/>
    <mergeCell ref="N104:O104"/>
    <mergeCell ref="N105:O105"/>
    <mergeCell ref="N106:O106"/>
    <mergeCell ref="N95:O95"/>
    <mergeCell ref="N96:O96"/>
    <mergeCell ref="N97:O97"/>
    <mergeCell ref="N98:O98"/>
    <mergeCell ref="N99:O99"/>
    <mergeCell ref="N112:O112"/>
    <mergeCell ref="N113:O113"/>
    <mergeCell ref="N114:O114"/>
    <mergeCell ref="N115:O115"/>
    <mergeCell ref="N116:O116"/>
    <mergeCell ref="N107:O107"/>
    <mergeCell ref="N108:O108"/>
    <mergeCell ref="N109:O109"/>
    <mergeCell ref="N110:O110"/>
    <mergeCell ref="N111:O111"/>
    <mergeCell ref="N125:O125"/>
    <mergeCell ref="N126:O126"/>
    <mergeCell ref="N127:O127"/>
    <mergeCell ref="N128:O128"/>
    <mergeCell ref="N117:O117"/>
    <mergeCell ref="N118:O118"/>
    <mergeCell ref="N119:O119"/>
    <mergeCell ref="N120:O120"/>
    <mergeCell ref="N121:O121"/>
    <mergeCell ref="H149:L149"/>
    <mergeCell ref="H150:L150"/>
    <mergeCell ref="H151:L151"/>
    <mergeCell ref="N3:O3"/>
    <mergeCell ref="C7:F8"/>
    <mergeCell ref="C4:D5"/>
    <mergeCell ref="H146:L146"/>
    <mergeCell ref="H148:L148"/>
    <mergeCell ref="N139:O139"/>
    <mergeCell ref="N140:O140"/>
    <mergeCell ref="N141:O141"/>
    <mergeCell ref="N142:O142"/>
    <mergeCell ref="N143:O143"/>
    <mergeCell ref="N134:O134"/>
    <mergeCell ref="N135:O135"/>
    <mergeCell ref="N136:O136"/>
    <mergeCell ref="N137:O137"/>
    <mergeCell ref="N138:O138"/>
    <mergeCell ref="N129:O129"/>
    <mergeCell ref="N130:O130"/>
    <mergeCell ref="N131:O131"/>
    <mergeCell ref="N132:O132"/>
    <mergeCell ref="N133:O133"/>
    <mergeCell ref="N124:O124"/>
  </mergeCells>
  <conditionalFormatting sqref="I14:I144">
    <cfRule type="expression" dxfId="12" priority="40">
      <formula>$A14=1</formula>
    </cfRule>
  </conditionalFormatting>
  <conditionalFormatting sqref="J14:J144">
    <cfRule type="expression" dxfId="11" priority="39">
      <formula>$A14=2</formula>
    </cfRule>
  </conditionalFormatting>
  <conditionalFormatting sqref="K14:K144">
    <cfRule type="expression" dxfId="10" priority="38">
      <formula>$A14=3</formula>
    </cfRule>
  </conditionalFormatting>
  <conditionalFormatting sqref="L14:L144">
    <cfRule type="expression" dxfId="9" priority="37">
      <formula>OR($A14=4,$A14=-1)</formula>
    </cfRule>
  </conditionalFormatting>
  <conditionalFormatting sqref="N14:O33 N36:O55 N58:O77 N80:O99 N102:O121 N124:O143">
    <cfRule type="expression" dxfId="8" priority="31">
      <formula>editmode="lock"</formula>
    </cfRule>
  </conditionalFormatting>
  <conditionalFormatting sqref="G26:G144">
    <cfRule type="expression" dxfId="7" priority="30">
      <formula>editmode="lock"</formula>
    </cfRule>
  </conditionalFormatting>
  <conditionalFormatting sqref="F34 N12:O12 N9:O9 I12 F56 F78 F100 F122 F144">
    <cfRule type="expression" dxfId="6" priority="29">
      <formula>editmode="lock"</formula>
    </cfRule>
  </conditionalFormatting>
  <conditionalFormatting sqref="N5:O8">
    <cfRule type="expression" dxfId="5" priority="28">
      <formula>editmode="lock"</formula>
    </cfRule>
  </conditionalFormatting>
  <conditionalFormatting sqref="N9:O9">
    <cfRule type="expression" dxfId="4" priority="14">
      <formula>ViewStage=0</formula>
    </cfRule>
  </conditionalFormatting>
  <conditionalFormatting sqref="E14:G144">
    <cfRule type="expression" dxfId="3" priority="13">
      <formula>$A14=4</formula>
    </cfRule>
  </conditionalFormatting>
  <conditionalFormatting sqref="C11">
    <cfRule type="expression" dxfId="2" priority="2">
      <formula>editmode="lock"</formula>
    </cfRule>
  </conditionalFormatting>
  <conditionalFormatting sqref="F11">
    <cfRule type="expression" dxfId="1" priority="1">
      <formula>editmode="lock"</formula>
    </cfRule>
  </conditionalFormatting>
  <hyperlinks>
    <hyperlink ref="N9" location="Stage!N9" tooltip="copy project details from the previous stage" display="Stage!N9" xr:uid="{73F5C607-9348-473D-838E-BB3B015D36ED}"/>
    <hyperlink ref="I14" location="Stage!i14" tooltip="Low Risk" display="Stage!i14" xr:uid="{DFCFE3BF-9F84-4A61-9F6A-6A4BB576B9A0}"/>
    <hyperlink ref="I15" location="Stage!i15" tooltip="Low Risk" display="Stage!i15" xr:uid="{71CB6FDA-3D0F-41FD-8870-AC052B35C8DA}"/>
    <hyperlink ref="I16" location="Stage!i16" tooltip="Low Risk" display="Stage!i16" xr:uid="{BD121AA3-D36A-40EE-865C-D68B9BC33DAA}"/>
    <hyperlink ref="I17" location="Stage!i17" tooltip="Low Risk" display="Stage!i17" xr:uid="{60B874EC-A3EB-4AC7-8D29-F1A8D296DC77}"/>
    <hyperlink ref="I18" location="Stage!i18" tooltip="Low Risk" display="Stage!i18" xr:uid="{3FDA36A8-A4F6-4603-8E8E-8EA774815C11}"/>
    <hyperlink ref="I19" location="Stage!i19" tooltip="Low Risk" display="Stage!i19" xr:uid="{BF8D6C4D-0B28-4780-AE3A-DD398CA8AD1D}"/>
    <hyperlink ref="I20" location="Stage!i20" tooltip="Low Risk" display="Stage!i20" xr:uid="{842B8B2C-A1A7-466F-96F1-E5128CBCAB8F}"/>
    <hyperlink ref="I21" location="Stage!i21" tooltip="Low Risk" display="Stage!i21" xr:uid="{9447B10D-073D-4CC6-B699-64D70C23CB4F}"/>
    <hyperlink ref="I22" location="Stage!i22" tooltip="Low Risk" display="Stage!i22" xr:uid="{C5EA41CF-4231-40CE-B346-572375EBBFBB}"/>
    <hyperlink ref="I23" location="Stage!i23" tooltip="Low Risk" display="Stage!i23" xr:uid="{55C7A669-8B05-4CF5-A67E-6A23B5728A12}"/>
    <hyperlink ref="I24" location="Stage!i24" tooltip="Low Risk" display="Stage!i24" xr:uid="{A2952CFF-242B-4475-BDAA-DD67DD07E5F7}"/>
    <hyperlink ref="I25" location="Stage!i25" tooltip="Low Risk" display="Stage!i25" xr:uid="{41FAC0E7-E27B-4B4D-81F2-AAEC472C56F9}"/>
    <hyperlink ref="I26" location="Stage!i26" tooltip="Low Risk" display="Stage!i26" xr:uid="{0CF9753A-8A15-43EE-A335-2F3FB995EB58}"/>
    <hyperlink ref="I27" location="Stage!i27" tooltip="Low Risk" display="Stage!i27" xr:uid="{D4563DBF-F525-4F10-9CE4-BF7CA0814BDC}"/>
    <hyperlink ref="I28" location="Stage!i28" tooltip="Low Risk" display="Stage!i28" xr:uid="{62E5E137-9648-4587-A668-8068040B8D98}"/>
    <hyperlink ref="I29" location="Stage!i29" tooltip="Low Risk" display="Stage!i29" xr:uid="{969F8739-FE10-4991-95E8-5F303B79EB99}"/>
    <hyperlink ref="I30" location="Stage!i30" tooltip="Low Risk" display="Stage!i30" xr:uid="{47FC0F1A-0F3B-42F1-9B6D-8F0088D3BAB9}"/>
    <hyperlink ref="I31" location="Stage!i31" tooltip="Low Risk" display="Stage!i31" xr:uid="{07F2D30E-1130-4DCF-9FCE-5CA4A7C07EBE}"/>
    <hyperlink ref="I32" location="Stage!i32" tooltip="Low Risk" display="Stage!i32" xr:uid="{1E350E83-103B-4B67-AD0C-B0B01AC155B0}"/>
    <hyperlink ref="I33" location="Stage!i33" tooltip="Low Risk" display="Stage!i33" xr:uid="{05C8BA1E-418E-427C-8516-7141F8652473}"/>
    <hyperlink ref="I36" location="Stage!i36" tooltip="Low Risk" display="Stage!i36" xr:uid="{9C565EDA-0955-4506-BC17-FBBBA410598F}"/>
    <hyperlink ref="I37" location="Stage!i37" tooltip="Low Risk" display="Stage!i37" xr:uid="{54EDCD30-C97A-4059-862E-D928B5F7D033}"/>
    <hyperlink ref="I38" location="Stage!i38" tooltip="Low Risk" display="Stage!i38" xr:uid="{4D146C4A-9D7E-4F3C-B0D4-E4AD1E9B7C6A}"/>
    <hyperlink ref="I39" location="Stage!i39" tooltip="Low Risk" display="Stage!i39" xr:uid="{F6855E42-CD1D-4B5D-AE8A-14F4E62D20DA}"/>
    <hyperlink ref="I40" location="Stage!i40" tooltip="Low Risk" display="Stage!i40" xr:uid="{38BD1EF4-BAC0-4AE0-961B-943F15D712E9}"/>
    <hyperlink ref="I41" location="Stage!i41" tooltip="Low Risk" display="Stage!i41" xr:uid="{4E2EB2C6-AB48-434B-B1CF-97A265F1A423}"/>
    <hyperlink ref="I42" location="Stage!i42" tooltip="Low Risk" display="Stage!i42" xr:uid="{C7C8A045-F0D4-4244-8E16-383B43D46666}"/>
    <hyperlink ref="I43" location="Stage!i43" tooltip="Low Risk" display="Stage!i43" xr:uid="{7BA00413-7172-4B4D-880A-76140B75773D}"/>
    <hyperlink ref="I44" location="Stage!i44" tooltip="Low Risk" display="Stage!i44" xr:uid="{738CE996-5FD6-470F-A499-D1B2ABB934F1}"/>
    <hyperlink ref="I45" location="Stage!i45" tooltip="Low Risk" display="Stage!i45" xr:uid="{A73B4659-001E-44E9-83CD-B10611F3C9CB}"/>
    <hyperlink ref="I46" location="Stage!i46" tooltip="Low Risk" display="Stage!i46" xr:uid="{C8B7643A-9CFB-4705-AB32-77DEDF3B4921}"/>
    <hyperlink ref="I47" location="Stage!i47" tooltip="Low Risk" display="Stage!i47" xr:uid="{666C9272-132E-4B7C-98F4-0F5850B038A5}"/>
    <hyperlink ref="I48" location="Stage!i48" tooltip="Low Risk" display="Stage!i48" xr:uid="{94F2EFA5-739A-4BA7-BA5B-BC58E7417B61}"/>
    <hyperlink ref="I49" location="Stage!i49" tooltip="Low Risk" display="Stage!i49" xr:uid="{028A7E86-A277-4C70-A795-74AE8E12CE8C}"/>
    <hyperlink ref="I50" location="Stage!i50" tooltip="Low Risk" display="Stage!i50" xr:uid="{058D24F7-78D9-4849-8B15-2CD5FA6B8B06}"/>
    <hyperlink ref="I51" location="Stage!i51" tooltip="Low Risk" display="Stage!i51" xr:uid="{06AAFA24-43C5-4656-8C2D-4A9B45053791}"/>
    <hyperlink ref="I52" location="Stage!i52" tooltip="Low Risk" display="Stage!i52" xr:uid="{24947D5F-F6A9-450A-B244-AD56F3783982}"/>
    <hyperlink ref="I53" location="Stage!i53" tooltip="Low Risk" display="Stage!i53" xr:uid="{43DA16F5-2A3D-46F2-BB9E-B2B6ADA6FC1F}"/>
    <hyperlink ref="I54" location="Stage!i54" tooltip="Low Risk" display="Stage!i54" xr:uid="{8316857D-F042-4F34-A6E5-543F32D570B4}"/>
    <hyperlink ref="I55" location="Stage!i55" tooltip="Low Risk" display="Stage!i55" xr:uid="{3E09864D-A310-4DFA-9136-9A5E2D1C06D5}"/>
    <hyperlink ref="I58" location="Stage!i58" tooltip="Low Risk" display="Stage!i58" xr:uid="{5C1D9E21-CB72-4F2D-9FD1-0975E328A876}"/>
    <hyperlink ref="I59" location="Stage!i59" tooltip="Low Risk" display="Stage!i59" xr:uid="{087232E8-AE91-4580-B589-B09A69810F01}"/>
    <hyperlink ref="I60" location="Stage!i60" tooltip="Low Risk" display="Stage!i60" xr:uid="{90EE4FEC-6BB4-4BD7-AFED-863126399880}"/>
    <hyperlink ref="I61" location="Stage!i61" tooltip="Low Risk" display="Stage!i61" xr:uid="{3222B371-F9AC-411C-AA8E-7CCF47220AE8}"/>
    <hyperlink ref="I62" location="Stage!i62" tooltip="Low Risk" display="Stage!i62" xr:uid="{13BAA55D-CCA3-4345-AE93-2E6008CB02C5}"/>
    <hyperlink ref="I63" location="Stage!i63" tooltip="Low Risk" display="Stage!i63" xr:uid="{F23292E8-6423-4B9E-B124-5259320EC5D5}"/>
    <hyperlink ref="I64" location="Stage!i64" tooltip="Low Risk" display="Stage!i64" xr:uid="{4CCD4EBE-84E7-482C-A741-A9466F840B15}"/>
    <hyperlink ref="I65" location="Stage!i65" tooltip="Low Risk" display="Stage!i65" xr:uid="{BE1E2519-8E60-40BB-B1C3-2BEF1F87F23C}"/>
    <hyperlink ref="I66" location="Stage!i66" tooltip="Low Risk" display="Stage!i66" xr:uid="{0D974418-4817-4D6A-9B2B-36BFBD5CE039}"/>
    <hyperlink ref="I67" location="Stage!i67" tooltip="Low Risk" display="Stage!i67" xr:uid="{0A7C9546-A2C1-4A59-8865-151250B43105}"/>
    <hyperlink ref="I68" location="Stage!i68" tooltip="Low Risk" display="Stage!i68" xr:uid="{E94840A1-0B7E-4DAE-ADA1-59708A3B8225}"/>
    <hyperlink ref="I69" location="Stage!i69" tooltip="Low Risk" display="Stage!i69" xr:uid="{918EF684-369D-49EE-92DD-27C797BB8075}"/>
    <hyperlink ref="I70" location="Stage!i70" tooltip="Low Risk" display="Stage!i70" xr:uid="{C27DF405-F70B-4A71-9DFA-97DBF82CD7A3}"/>
    <hyperlink ref="I71" location="Stage!i71" tooltip="Low Risk" display="Stage!i71" xr:uid="{C60329E4-B08E-412F-B21A-F080BF7E8E73}"/>
    <hyperlink ref="I72" location="Stage!i72" tooltip="Low Risk" display="Stage!i72" xr:uid="{13C8BC00-6183-4F3E-8F37-CDAF15EC99A8}"/>
    <hyperlink ref="I73" location="Stage!i73" tooltip="Low Risk" display="Stage!i73" xr:uid="{179C67A6-1295-482D-AC16-420270EC8B9D}"/>
    <hyperlink ref="I74" location="Stage!i74" tooltip="Low Risk" display="Stage!i74" xr:uid="{64C77841-00A6-4B0F-864C-E7B45141E2B2}"/>
    <hyperlink ref="I75" location="Stage!i75" tooltip="Low Risk" display="Stage!i75" xr:uid="{C0DA2360-6CFB-41E8-BA31-C91731FDDBEC}"/>
    <hyperlink ref="I76" location="Stage!i76" tooltip="Low Risk" display="Stage!i76" xr:uid="{1F010913-A626-465C-A52C-BBCAD0629C3B}"/>
    <hyperlink ref="I77" location="Stage!i77" tooltip="Low Risk" display="Stage!i77" xr:uid="{1E0AF230-924E-4037-86CA-9E16690854FD}"/>
    <hyperlink ref="I80" location="Stage!i80" tooltip="Low Risk" display="Stage!i80" xr:uid="{F4727AF9-1603-4786-830E-39B9AF9EF4EC}"/>
    <hyperlink ref="I81" location="Stage!i81" tooltip="Low Risk" display="Stage!i81" xr:uid="{E18A244F-7C69-4AEE-92D8-449359ACADED}"/>
    <hyperlink ref="I82" location="Stage!i82" tooltip="Low Risk" display="Stage!i82" xr:uid="{893CD8B9-B3D9-4786-A327-09833C69FB94}"/>
    <hyperlink ref="I83" location="Stage!i83" tooltip="Low Risk" display="Stage!i83" xr:uid="{75335E9A-A251-4C6D-B9D4-315E8A4FA995}"/>
    <hyperlink ref="I84" location="Stage!i84" tooltip="Low Risk" display="Stage!i84" xr:uid="{31D9E08A-DC6B-4C7B-B22D-7B83CFF074F1}"/>
    <hyperlink ref="I85" location="Stage!i85" tooltip="Low Risk" display="Stage!i85" xr:uid="{C5DC7E34-F018-46CA-9FF8-4CED682DF083}"/>
    <hyperlink ref="I86" location="Stage!i86" tooltip="Low Risk" display="Stage!i86" xr:uid="{220E6A95-C0C3-49F5-89C9-1054B642E05F}"/>
    <hyperlink ref="I87" location="Stage!i87" tooltip="Low Risk" display="Stage!i87" xr:uid="{4DD9E897-638C-489B-A40D-DF953D69DD65}"/>
    <hyperlink ref="I88" location="Stage!i88" tooltip="Low Risk" display="Stage!i88" xr:uid="{83A7DD21-4621-42B7-A838-9BAA39EE3A4A}"/>
    <hyperlink ref="I89" location="Stage!i89" tooltip="Low Risk" display="Stage!i89" xr:uid="{49C87016-CF44-4BEB-B477-B19F17BDB95C}"/>
    <hyperlink ref="I90" location="Stage!i90" tooltip="Low Risk" display="Stage!i90" xr:uid="{FDAE3030-8878-46DF-9AA0-A477C0EE533F}"/>
    <hyperlink ref="I91" location="Stage!i91" tooltip="Low Risk" display="Stage!i91" xr:uid="{B780348B-F67D-43E5-AF46-23DB1B3A0B38}"/>
    <hyperlink ref="I92" location="Stage!i92" tooltip="Low Risk" display="Stage!i92" xr:uid="{81D51949-3CD1-4B01-85F4-8CB2230D960E}"/>
    <hyperlink ref="I93" location="Stage!i93" tooltip="Low Risk" display="Stage!i93" xr:uid="{A38657FE-FD28-459F-AE3E-F7E9CA57CAB6}"/>
    <hyperlink ref="I94" location="Stage!i94" tooltip="Low Risk" display="Stage!i94" xr:uid="{63FB5A25-63F3-43AC-BB49-365499370E13}"/>
    <hyperlink ref="I95" location="Stage!i95" tooltip="Low Risk" display="Stage!i95" xr:uid="{28B1E85C-4901-4856-856A-7AD2F59E2AF8}"/>
    <hyperlink ref="I96" location="Stage!i96" tooltip="Low Risk" display="Stage!i96" xr:uid="{0C697239-AA54-47FF-9C09-289E1330334E}"/>
    <hyperlink ref="I97" location="Stage!i97" tooltip="Low Risk" display="Stage!i97" xr:uid="{C6357A5D-758D-4F4C-AF0E-5D335D5C8B05}"/>
    <hyperlink ref="I98" location="Stage!i98" tooltip="Low Risk" display="Stage!i98" xr:uid="{A514A5C7-4347-471A-9070-9E90C2F940CD}"/>
    <hyperlink ref="I99" location="Stage!i99" tooltip="Low Risk" display="Stage!i99" xr:uid="{C6FBA45B-4B0A-4611-A947-34E1C9F252AD}"/>
    <hyperlink ref="I102" location="Stage!i102" tooltip="Low Risk" display="Stage!i102" xr:uid="{7DE3C08F-C7AD-4B37-9503-B32D58807441}"/>
    <hyperlink ref="I103" location="Stage!i103" tooltip="Low Risk" display="Stage!i103" xr:uid="{F9554D95-BAEF-47F6-B530-F231745A812C}"/>
    <hyperlink ref="I104" location="Stage!i104" tooltip="Low Risk" display="Stage!i104" xr:uid="{D839BB9D-7849-47FE-BE97-DC33FACC5539}"/>
    <hyperlink ref="I105" location="Stage!i105" tooltip="Low Risk" display="Stage!i105" xr:uid="{7BF3B64D-6895-4A7C-980B-4236F5E5086A}"/>
    <hyperlink ref="I106" location="Stage!i106" tooltip="Low Risk" display="Stage!i106" xr:uid="{70CEA567-E86E-4853-812F-FC16C8366615}"/>
    <hyperlink ref="I107" location="Stage!i107" tooltip="Low Risk" display="Stage!i107" xr:uid="{86AD1A3F-FD39-4EEB-AE52-E59F16E8E6B2}"/>
    <hyperlink ref="I108" location="Stage!i108" tooltip="Low Risk" display="Stage!i108" xr:uid="{E17F5AB6-A7C1-4171-AE4A-64120A621C89}"/>
    <hyperlink ref="I109" location="Stage!i109" tooltip="Low Risk" display="Stage!i109" xr:uid="{2156484A-A912-48C1-B47D-D815D14943B2}"/>
    <hyperlink ref="I110" location="Stage!i110" tooltip="Low Risk" display="Stage!i110" xr:uid="{F7D5BE98-A570-497F-9667-8FD5E8F34754}"/>
    <hyperlink ref="I111" location="Stage!i111" tooltip="Low Risk" display="Stage!i111" xr:uid="{B1D64BCA-7FFA-4F8B-9BC7-6269EFE8DF77}"/>
    <hyperlink ref="I112" location="Stage!i112" tooltip="Low Risk" display="Stage!i112" xr:uid="{125DA1AF-1A97-47F1-8198-B592BF2DDE18}"/>
    <hyperlink ref="I113" location="Stage!i113" tooltip="Low Risk" display="Stage!i113" xr:uid="{CFE591DF-40DD-473B-B996-53CCE034002F}"/>
    <hyperlink ref="I114" location="Stage!i114" tooltip="Low Risk" display="Stage!i114" xr:uid="{425B3C11-BC07-495F-86AC-B1CBA4019657}"/>
    <hyperlink ref="I115" location="Stage!i115" tooltip="Low Risk" display="Stage!i115" xr:uid="{D9370BA9-AA65-4A3C-B2BC-7B93DF6632B2}"/>
    <hyperlink ref="I116" location="Stage!i116" tooltip="Low Risk" display="Stage!i116" xr:uid="{0B86BFEB-225D-486D-A49E-1D3655D04CE0}"/>
    <hyperlink ref="I117" location="Stage!i117" tooltip="Low Risk" display="Stage!i117" xr:uid="{777C8165-87B7-49CE-8557-36D431E6D5DE}"/>
    <hyperlink ref="I118" location="Stage!i118" tooltip="Low Risk" display="Stage!i118" xr:uid="{E02A2FA8-6A3B-4EDE-9155-AC9A5B929170}"/>
    <hyperlink ref="I119" location="Stage!i119" tooltip="Low Risk" display="Stage!i119" xr:uid="{6BAE6A3B-D941-429C-840B-27BC2F988E2E}"/>
    <hyperlink ref="I120" location="Stage!i120" tooltip="Low Risk" display="Stage!i120" xr:uid="{BBB64FEA-FD15-455D-8029-CE4F390119AD}"/>
    <hyperlink ref="I121" location="Stage!i121" tooltip="Low Risk" display="Stage!i121" xr:uid="{86AA85AD-F1FB-49CD-80F1-610BBAC3176E}"/>
    <hyperlink ref="I124" location="Stage!i124" tooltip="Low Risk" display="Stage!i124" xr:uid="{F9FAFC8F-3479-47DF-AD35-87F8028C9FEB}"/>
    <hyperlink ref="I125" location="Stage!i125" tooltip="Low Risk" display="Stage!i125" xr:uid="{BE3FED96-56F4-4964-AB10-38069D478D0F}"/>
    <hyperlink ref="I126" location="Stage!i126" tooltip="Low Risk" display="Stage!i126" xr:uid="{E6730FBE-8715-4E5D-B534-7ABE947C0923}"/>
    <hyperlink ref="I127" location="Stage!i127" tooltip="Low Risk" display="Stage!i127" xr:uid="{7DB1AB45-8291-4E89-ACFB-F465017AD11D}"/>
    <hyperlink ref="I128" location="Stage!i128" tooltip="Low Risk" display="Stage!i128" xr:uid="{0E2E631F-63C7-4873-AB60-E679E991BB01}"/>
    <hyperlink ref="I129" location="Stage!i129" tooltip="Low Risk" display="Stage!i129" xr:uid="{CDA712C6-91F2-4231-B8EE-F279E32B9C3F}"/>
    <hyperlink ref="I130" location="Stage!i130" tooltip="Low Risk" display="Stage!i130" xr:uid="{21D76A58-DF33-46DB-A4FA-61603F5ACD15}"/>
    <hyperlink ref="I131" location="Stage!i131" tooltip="Low Risk" display="Stage!i131" xr:uid="{5B66B992-DD67-4ABB-A53F-219B1D419D09}"/>
    <hyperlink ref="I132" location="Stage!i132" tooltip="Low Risk" display="Stage!i132" xr:uid="{BF72CA1C-5786-43F9-8409-63E8A1B62AC3}"/>
    <hyperlink ref="I133" location="Stage!i133" tooltip="Low Risk" display="Stage!i133" xr:uid="{4C182E12-E2FC-41ED-A256-5731B6173AAA}"/>
    <hyperlink ref="I134" location="Stage!i134" tooltip="Low Risk" display="Stage!i134" xr:uid="{21C3C241-77AE-4A2A-87A2-57156B8223F5}"/>
    <hyperlink ref="I135" location="Stage!i135" tooltip="Low Risk" display="Stage!i135" xr:uid="{37BC03DA-2BA7-4807-BABE-A40ED3D83332}"/>
    <hyperlink ref="I136" location="Stage!i136" tooltip="Low Risk" display="Stage!i136" xr:uid="{D47645D7-DB71-4913-91FC-A15D0EA60D7C}"/>
    <hyperlink ref="I137" location="Stage!i137" tooltip="Low Risk" display="Stage!i137" xr:uid="{BE493F50-B2B7-4723-B718-BCF84810AAFB}"/>
    <hyperlink ref="I138" location="Stage!i138" tooltip="Low Risk" display="Stage!i138" xr:uid="{3590FF4A-D952-4887-B596-87AB6D92D93B}"/>
    <hyperlink ref="I139" location="Stage!i139" tooltip="Low Risk" display="Stage!i139" xr:uid="{E6554493-7E61-40A9-A35D-2E4B48E07436}"/>
    <hyperlink ref="I140" location="Stage!i140" tooltip="Low Risk" display="Stage!i140" xr:uid="{752734C3-39F0-468B-8FAD-A81D607C1C5E}"/>
    <hyperlink ref="I141" location="Stage!i141" tooltip="Low Risk" display="Stage!i141" xr:uid="{1C7652E2-BED6-4871-B9A1-CCC915CACBBC}"/>
    <hyperlink ref="I142" location="Stage!i142" tooltip="Low Risk" display="Stage!i142" xr:uid="{236C2E62-95BC-48EF-8FA6-62C8FC66C664}"/>
    <hyperlink ref="I143" location="Stage!i143" tooltip="Low Risk" display="Stage!i143" xr:uid="{201363CB-F918-4270-9678-8507239AACFD}"/>
    <hyperlink ref="J14" location="Stage!j14" tooltip="Medium Risk" display="Stage!j14" xr:uid="{351DAA64-4392-4BBA-BA8B-3F9013773EF0}"/>
    <hyperlink ref="J15" location="Stage!j15" tooltip="Medium Risk" display="Stage!j15" xr:uid="{9D34F4AF-CDB0-4537-84BD-28EBB9950718}"/>
    <hyperlink ref="J16" location="Stage!j16" tooltip="Medium Risk" display="Stage!j16" xr:uid="{4B016E61-EE59-4868-80BA-6E08E24D2FAE}"/>
    <hyperlink ref="J17" location="Stage!j17" tooltip="Medium Risk" display="Stage!j17" xr:uid="{DD8D89D7-2536-4EB9-9265-BDAE1D0C83BD}"/>
    <hyperlink ref="J18" location="Stage!j18" tooltip="Medium Risk" display="Stage!j18" xr:uid="{EA689DB3-E218-462C-8651-E2FF2F6D2952}"/>
    <hyperlink ref="J19" location="Stage!j19" tooltip="Medium Risk" display="Stage!j19" xr:uid="{1CFD7775-EA52-4289-9D40-A70C61280E24}"/>
    <hyperlink ref="J20" location="Stage!j20" tooltip="Medium Risk" display="Stage!j20" xr:uid="{C5686611-A4CF-4EDD-BEA3-EBA3F8CB0B9C}"/>
    <hyperlink ref="J21" location="Stage!j21" tooltip="Medium Risk" display="Stage!j21" xr:uid="{6DC78EB1-43C5-4585-8750-1778FC591A76}"/>
    <hyperlink ref="J22" location="Stage!j22" tooltip="Medium Risk" display="Stage!j22" xr:uid="{B82A7A44-BB7B-42E9-8CDA-0AA418746191}"/>
    <hyperlink ref="J23" location="Stage!j23" tooltip="Medium Risk" display="Stage!j23" xr:uid="{E07073A0-A63C-4DFE-ABFC-212342B07380}"/>
    <hyperlink ref="J24" location="Stage!j24" tooltip="Medium Risk" display="Stage!j24" xr:uid="{3688E7FA-2C54-41C9-8C82-ABB6FEAD494C}"/>
    <hyperlink ref="J25" location="Stage!j25" tooltip="Medium Risk" display="Stage!j25" xr:uid="{CF4765B3-72C2-4C6D-9011-A91A12605D11}"/>
    <hyperlink ref="J26" location="Stage!j26" tooltip="Medium Risk" display="Stage!j26" xr:uid="{18268E67-043C-490D-9215-74710AB8BDA1}"/>
    <hyperlink ref="J27" location="Stage!j27" tooltip="Medium Risk" display="Stage!j27" xr:uid="{55D5C8C9-401F-4529-8AB5-28F2E669F46A}"/>
    <hyperlink ref="J28" location="Stage!j28" tooltip="Medium Risk" display="Stage!j28" xr:uid="{A0BBF4D4-C552-460C-A0F3-A275BAAED846}"/>
    <hyperlink ref="J29" location="Stage!j29" tooltip="Medium Risk" display="Stage!j29" xr:uid="{412362F7-10AF-413A-AA6F-5768ADB8D115}"/>
    <hyperlink ref="J30" location="Stage!j30" tooltip="Medium Risk" display="Stage!j30" xr:uid="{2CD6D305-AEC5-46E1-98B1-5171B085D3E0}"/>
    <hyperlink ref="J31" location="Stage!j31" tooltip="Medium Risk" display="Stage!j31" xr:uid="{80D43F2C-80E0-4B7A-B9C9-A5749D3607F3}"/>
    <hyperlink ref="J32" location="Stage!j32" tooltip="Medium Risk" display="Stage!j32" xr:uid="{8483DDC8-5600-4A75-A195-9157A78AD382}"/>
    <hyperlink ref="J33" location="Stage!j33" tooltip="Medium Risk" display="Stage!j33" xr:uid="{31C9BE63-EE8F-444C-B5DA-44D58A610CD0}"/>
    <hyperlink ref="J36" location="Stage!j36" tooltip="Medium Risk" display="Stage!j36" xr:uid="{D7A7CB2C-1D86-49BF-AE31-A3C7133A77AB}"/>
    <hyperlink ref="J37" location="Stage!j37" tooltip="Medium Risk" display="Stage!j37" xr:uid="{9D6258E1-5F7B-405F-A58E-B0888D145682}"/>
    <hyperlink ref="J38" location="Stage!j38" tooltip="Medium Risk" display="Stage!j38" xr:uid="{3304B2B1-7B47-42DD-A9A4-D4D176B3B1D2}"/>
    <hyperlink ref="J39" location="Stage!j39" tooltip="Medium Risk" display="Stage!j39" xr:uid="{85F70625-B452-4388-A7A2-01454144C78D}"/>
    <hyperlink ref="J40" location="Stage!j40" tooltip="Medium Risk" display="Stage!j40" xr:uid="{F2B2068E-9C7C-4569-9B55-C30BA0C46C5E}"/>
    <hyperlink ref="J41" location="Stage!j41" tooltip="Medium Risk" display="Stage!j41" xr:uid="{982E9EEF-FAF4-415E-BE9E-B4AD0BAE716C}"/>
    <hyperlink ref="J42" location="Stage!j42" tooltip="Medium Risk" display="Stage!j42" xr:uid="{19AF9ABA-AE68-419B-A113-30A9DA3BE802}"/>
    <hyperlink ref="J43" location="Stage!j43" tooltip="Medium Risk" display="Stage!j43" xr:uid="{037EF843-A57E-4E74-A379-5F56E4834522}"/>
    <hyperlink ref="J44" location="Stage!j44" tooltip="Medium Risk" display="Stage!j44" xr:uid="{DEFE21A5-711B-4D0D-8886-F975F529A277}"/>
    <hyperlink ref="J45" location="Stage!j45" tooltip="Medium Risk" display="Stage!j45" xr:uid="{7C574D25-24F6-4EB0-A960-7EAE63448FA8}"/>
    <hyperlink ref="J46" location="Stage!j46" tooltip="Medium Risk" display="Stage!j46" xr:uid="{4F2BC14C-AFA7-4F6E-8913-25F0C4F9FE21}"/>
    <hyperlink ref="J47" location="Stage!j47" tooltip="Medium Risk" display="Stage!j47" xr:uid="{31A862A9-7EB5-45BB-B6FA-274C286F419E}"/>
    <hyperlink ref="J48" location="Stage!j48" tooltip="Medium Risk" display="Stage!j48" xr:uid="{7C08884D-77A6-4C18-A930-896E8A448732}"/>
    <hyperlink ref="J49" location="Stage!j49" tooltip="Medium Risk" display="Stage!j49" xr:uid="{F35A74AD-03A7-4802-A460-016075A60D58}"/>
    <hyperlink ref="J50" location="Stage!j50" tooltip="Medium Risk" display="Stage!j50" xr:uid="{6FA4F51B-DFCC-4092-920F-5ECEC541E377}"/>
    <hyperlink ref="J51" location="Stage!j51" tooltip="Medium Risk" display="Stage!j51" xr:uid="{D74FFAA0-7284-41AB-A698-E525D400114F}"/>
    <hyperlink ref="J52" location="Stage!j52" tooltip="Medium Risk" display="Stage!j52" xr:uid="{CC22D0F3-6D3E-4703-96A8-B00A21D42574}"/>
    <hyperlink ref="J53" location="Stage!j53" tooltip="Medium Risk" display="Stage!j53" xr:uid="{DCE7246B-0189-4ABE-8AD1-406365EBACD9}"/>
    <hyperlink ref="J54" location="Stage!j54" tooltip="Medium Risk" display="Stage!j54" xr:uid="{9345DDA4-7343-4980-84F3-5E755FCAD453}"/>
    <hyperlink ref="J55" location="Stage!j55" tooltip="Medium Risk" display="Stage!j55" xr:uid="{8572E40F-0BB4-4F1E-9AFC-B441AC713495}"/>
    <hyperlink ref="J58" location="Stage!j58" tooltip="Medium Risk" display="Stage!j58" xr:uid="{89BEEC90-F3DA-430A-8469-5136FD0E24C5}"/>
    <hyperlink ref="J59" location="Stage!j59" tooltip="Medium Risk" display="Stage!j59" xr:uid="{2DD84CBF-2108-4F0B-ABAE-FF3147AB5927}"/>
    <hyperlink ref="J60" location="Stage!j60" tooltip="Medium Risk" display="Stage!j60" xr:uid="{714B450B-00A9-46B3-85AC-9256E623FF62}"/>
    <hyperlink ref="J61" location="Stage!j61" tooltip="Medium Risk" display="Stage!j61" xr:uid="{636D4625-550D-46B1-A461-04739923A540}"/>
    <hyperlink ref="J62" location="Stage!j62" tooltip="Medium Risk" display="Stage!j62" xr:uid="{6A9F0490-7736-4242-BBFF-085BE9E55B8C}"/>
    <hyperlink ref="J63" location="Stage!j63" tooltip="Medium Risk" display="Stage!j63" xr:uid="{40C2498C-6EF7-4EBB-8EFB-E88AB5CC6728}"/>
    <hyperlink ref="J64" location="Stage!j64" tooltip="Medium Risk" display="Stage!j64" xr:uid="{5B7EC0E1-E85A-44EB-B9B8-5935FCDED506}"/>
    <hyperlink ref="J65" location="Stage!j65" tooltip="Medium Risk" display="Stage!j65" xr:uid="{EBE000C1-509F-40E5-9D49-1B00A563CB30}"/>
    <hyperlink ref="J66" location="Stage!j66" tooltip="Medium Risk" display="Stage!j66" xr:uid="{46670DF2-0A22-42D8-B710-57DF5E84DC64}"/>
    <hyperlink ref="J67" location="Stage!j67" tooltip="Medium Risk" display="Stage!j67" xr:uid="{1872ACDB-FB7D-46C6-921C-FECB15B421B2}"/>
    <hyperlink ref="J68" location="Stage!j68" tooltip="Medium Risk" display="Stage!j68" xr:uid="{023AB7F7-A960-404D-A543-7A9A3C6792C9}"/>
    <hyperlink ref="J69" location="Stage!j69" tooltip="Medium Risk" display="Stage!j69" xr:uid="{52637C81-F3C6-4048-9159-CCBE2381F69B}"/>
    <hyperlink ref="J70" location="Stage!j70" tooltip="Medium Risk" display="Stage!j70" xr:uid="{00DC2989-CD82-4ED0-B828-5630D0319464}"/>
    <hyperlink ref="J71" location="Stage!j71" tooltip="Medium Risk" display="Stage!j71" xr:uid="{3E05AC54-9578-44D8-8A52-E00F1D5AB29F}"/>
    <hyperlink ref="J72" location="Stage!j72" tooltip="Medium Risk" display="Stage!j72" xr:uid="{A14A86AA-AD1E-47BF-AD77-FC967C3018AB}"/>
    <hyperlink ref="J73" location="Stage!j73" tooltip="Medium Risk" display="Stage!j73" xr:uid="{F45070E6-344C-4905-A5EB-A39FC0D6BA04}"/>
    <hyperlink ref="J74" location="Stage!j74" tooltip="Medium Risk" display="Stage!j74" xr:uid="{105BFEF0-411A-4946-BAD8-2D137EC83F8F}"/>
    <hyperlink ref="J75" location="Stage!j75" tooltip="Medium Risk" display="Stage!j75" xr:uid="{23308435-882A-46E7-B5B8-C709C83DB7C6}"/>
    <hyperlink ref="J76" location="Stage!j76" tooltip="Medium Risk" display="Stage!j76" xr:uid="{74F40760-B557-4053-A6A7-B69C1CF4E253}"/>
    <hyperlink ref="J77" location="Stage!j77" tooltip="Medium Risk" display="Stage!j77" xr:uid="{D708BE73-A752-445B-BEC1-01CA17313329}"/>
    <hyperlink ref="J80" location="Stage!j80" tooltip="Medium Risk" display="Stage!j80" xr:uid="{4C5B8855-AD66-493F-A5DA-4AFBF7DFD6B6}"/>
    <hyperlink ref="J81" location="Stage!j81" tooltip="Medium Risk" display="Stage!j81" xr:uid="{9A9FE463-93A0-4A9B-B831-90D1167D5958}"/>
    <hyperlink ref="J82" location="Stage!j82" tooltip="Medium Risk" display="Stage!j82" xr:uid="{73BF68D2-0EC4-41F7-8CF3-9B1FE6CDA753}"/>
    <hyperlink ref="J83" location="Stage!j83" tooltip="Medium Risk" display="Stage!j83" xr:uid="{ABFDD8EA-07C3-4A7D-BB80-0AFB5FA8F7FF}"/>
    <hyperlink ref="J84" location="Stage!j84" tooltip="Medium Risk" display="Stage!j84" xr:uid="{85F37EB3-94B1-4B84-8862-973D700973F5}"/>
    <hyperlink ref="J85" location="Stage!j85" tooltip="Medium Risk" display="Stage!j85" xr:uid="{4E95D88C-8D72-4ABC-A09D-B1FA2B7EDD08}"/>
    <hyperlink ref="J86" location="Stage!j86" tooltip="Medium Risk" display="Stage!j86" xr:uid="{4AD94338-911B-40FB-ACDD-CAF1134A59CE}"/>
    <hyperlink ref="J87" location="Stage!j87" tooltip="Medium Risk" display="Stage!j87" xr:uid="{CB18A0BA-70EC-4BFB-91FB-3A3F226436CA}"/>
    <hyperlink ref="J88" location="Stage!j88" tooltip="Medium Risk" display="Stage!j88" xr:uid="{303A20A2-FD79-4D27-AF57-59EEAAA42A7B}"/>
    <hyperlink ref="J89" location="Stage!j89" tooltip="Medium Risk" display="Stage!j89" xr:uid="{7E68A24B-6EAD-4C50-95C3-08244FE835E2}"/>
    <hyperlink ref="J90" location="Stage!j90" tooltip="Medium Risk" display="Stage!j90" xr:uid="{C4111337-439A-4289-82DE-AA813A1CE602}"/>
    <hyperlink ref="J91" location="Stage!j91" tooltip="Medium Risk" display="Stage!j91" xr:uid="{CA750456-B0CC-48BF-B0F5-4A288540D372}"/>
    <hyperlink ref="J92" location="Stage!j92" tooltip="Medium Risk" display="Stage!j92" xr:uid="{C7D1D3AE-857F-45BB-B009-2DFB742CE495}"/>
    <hyperlink ref="J93" location="Stage!j93" tooltip="Medium Risk" display="Stage!j93" xr:uid="{77200591-5A76-4382-B6EA-7D516C5191E9}"/>
    <hyperlink ref="J94" location="Stage!j94" tooltip="Medium Risk" display="Stage!j94" xr:uid="{26468F4C-37E2-4731-A8D0-09E7163E1535}"/>
    <hyperlink ref="J95" location="Stage!j95" tooltip="Medium Risk" display="Stage!j95" xr:uid="{CC5C7D64-FBA0-43E2-BC31-7495B7F7D286}"/>
    <hyperlink ref="J96" location="Stage!j96" tooltip="Medium Risk" display="Stage!j96" xr:uid="{96CDF12E-1B08-4746-941B-5B931720CBC6}"/>
    <hyperlink ref="J97" location="Stage!j97" tooltip="Medium Risk" display="Stage!j97" xr:uid="{C53A8C86-C551-474A-94AC-0A01BE11D9AE}"/>
    <hyperlink ref="J98" location="Stage!j98" tooltip="Medium Risk" display="Stage!j98" xr:uid="{56C7E75A-473A-41B5-BD82-AF4C620EADA5}"/>
    <hyperlink ref="J99" location="Stage!j99" tooltip="Medium Risk" display="Stage!j99" xr:uid="{830C3562-95A4-430D-B735-917B70AE3F38}"/>
    <hyperlink ref="J102" location="Stage!j102" tooltip="Medium Risk" display="Stage!j102" xr:uid="{520FCE64-4BCF-42F3-B6C4-CDFCC661561D}"/>
    <hyperlink ref="J103" location="Stage!j103" tooltip="Medium Risk" display="Stage!j103" xr:uid="{4C5D5E59-8566-4896-B6F5-0C561BFB79EC}"/>
    <hyperlink ref="J104" location="Stage!j104" tooltip="Medium Risk" display="Stage!j104" xr:uid="{476D9E3E-E674-4FC6-A7F3-CB9CCAA1929E}"/>
    <hyperlink ref="J105" location="Stage!j105" tooltip="Medium Risk" display="Stage!j105" xr:uid="{EE1C48F0-A496-4B4A-A372-CCF52F9FD60C}"/>
    <hyperlink ref="J106" location="Stage!j106" tooltip="Medium Risk" display="Stage!j106" xr:uid="{CE7D2CAB-1592-405E-A212-A0821C84D856}"/>
    <hyperlink ref="J107" location="Stage!j107" tooltip="Medium Risk" display="Stage!j107" xr:uid="{9AD8281B-DB3D-4D91-B6E0-0F1B2ECB83A3}"/>
    <hyperlink ref="J108" location="Stage!j108" tooltip="Medium Risk" display="Stage!j108" xr:uid="{90D5AD9D-2CDF-4155-BE92-7F5BA563D386}"/>
    <hyperlink ref="J109" location="Stage!j109" tooltip="Medium Risk" display="Stage!j109" xr:uid="{8CA9375A-AFD0-4B00-9BBA-D9288ACEAC61}"/>
    <hyperlink ref="J110" location="Stage!j110" tooltip="Medium Risk" display="Stage!j110" xr:uid="{D1BD0E09-203F-47F0-9161-0BF0147EC99D}"/>
    <hyperlink ref="J111" location="Stage!j111" tooltip="Medium Risk" display="Stage!j111" xr:uid="{CB82FFC8-3850-4D69-A8CB-A7568CDF1F66}"/>
    <hyperlink ref="J112" location="Stage!j112" tooltip="Medium Risk" display="Stage!j112" xr:uid="{7FF811B3-597A-47BC-9702-E7DA73A0CD7B}"/>
    <hyperlink ref="J113" location="Stage!j113" tooltip="Medium Risk" display="Stage!j113" xr:uid="{D514C1B6-04F9-48BE-AA1F-5DE814BFCAE7}"/>
    <hyperlink ref="J114" location="Stage!j114" tooltip="Medium Risk" display="Stage!j114" xr:uid="{914182B3-A69B-4493-82CA-F87B8D9536A7}"/>
    <hyperlink ref="J115" location="Stage!j115" tooltip="Medium Risk" display="Stage!j115" xr:uid="{165C9E7D-EC43-4B2B-BB0B-0BFC68DCCB40}"/>
    <hyperlink ref="J116" location="Stage!j116" tooltip="Medium Risk" display="Stage!j116" xr:uid="{BC1BB0EA-70C0-4E28-96C3-0C3E99D11E36}"/>
    <hyperlink ref="J117" location="Stage!j117" tooltip="Medium Risk" display="Stage!j117" xr:uid="{B1D1E6E2-4EF9-43E9-9FBD-3D290400096A}"/>
    <hyperlink ref="J118" location="Stage!j118" tooltip="Medium Risk" display="Stage!j118" xr:uid="{2B832921-A257-4D5B-B2B4-B4AA85F5F7AF}"/>
    <hyperlink ref="J119" location="Stage!j119" tooltip="Medium Risk" display="Stage!j119" xr:uid="{02DD9522-2D8C-4D68-A9BA-735ACB118180}"/>
    <hyperlink ref="J120" location="Stage!j120" tooltip="Medium Risk" display="Stage!j120" xr:uid="{85456384-6DCF-4D8B-8F83-FA75E26D03B9}"/>
    <hyperlink ref="J121" location="Stage!j121" tooltip="Medium Risk" display="Stage!j121" xr:uid="{84C63ED6-A549-422D-AA24-EC0AA9DCCC5B}"/>
    <hyperlink ref="J124" location="Stage!j124" tooltip="Medium Risk" display="Stage!j124" xr:uid="{DF63CFC1-074A-46D3-B795-A9FF4165F9B1}"/>
    <hyperlink ref="J125" location="Stage!j125" tooltip="Medium Risk" display="Stage!j125" xr:uid="{0BC50FE9-43E0-4B69-930A-13B4D04E5B74}"/>
    <hyperlink ref="J126" location="Stage!j126" tooltip="Medium Risk" display="Stage!j126" xr:uid="{EB4029E5-108D-4E66-A70A-3B937C2482B1}"/>
    <hyperlink ref="J127" location="Stage!j127" tooltip="Medium Risk" display="Stage!j127" xr:uid="{03BD1AEA-01EA-4702-BC57-0CCF80F190FA}"/>
    <hyperlink ref="J128" location="Stage!j128" tooltip="Medium Risk" display="Stage!j128" xr:uid="{048E6459-ACD9-4064-A9D0-8BA67721427B}"/>
    <hyperlink ref="J129" location="Stage!j129" tooltip="Medium Risk" display="Stage!j129" xr:uid="{8B76E32E-8B6F-4821-9AFD-D6E8535287E2}"/>
    <hyperlink ref="J130" location="Stage!j130" tooltip="Medium Risk" display="Stage!j130" xr:uid="{56CBA0F0-A920-4133-B8B2-550192C34A73}"/>
    <hyperlink ref="J131" location="Stage!j131" tooltip="Medium Risk" display="Stage!j131" xr:uid="{9104FB68-00C7-47FC-9530-03755414087F}"/>
    <hyperlink ref="J132" location="Stage!j132" tooltip="Medium Risk" display="Stage!j132" xr:uid="{A826D369-3652-4670-8F7F-A2806E45DABE}"/>
    <hyperlink ref="J133" location="Stage!j133" tooltip="Medium Risk" display="Stage!j133" xr:uid="{DC64AFC8-5248-488B-8B4A-03DC7A442EFE}"/>
    <hyperlink ref="J134" location="Stage!j134" tooltip="Medium Risk" display="Stage!j134" xr:uid="{F6BDE419-AEFB-46A0-91E2-F46AD665B315}"/>
    <hyperlink ref="J135" location="Stage!j135" tooltip="Medium Risk" display="Stage!j135" xr:uid="{7B7E474F-6496-4F4F-BD62-7D71AB97475C}"/>
    <hyperlink ref="J136" location="Stage!j136" tooltip="Medium Risk" display="Stage!j136" xr:uid="{16EBD937-034F-49A5-B5C2-D627509FBFC0}"/>
    <hyperlink ref="J137" location="Stage!j137" tooltip="Medium Risk" display="Stage!j137" xr:uid="{F32D6B16-137E-4DA5-B046-ABA6DD5CE033}"/>
    <hyperlink ref="J138" location="Stage!j138" tooltip="Medium Risk" display="Stage!j138" xr:uid="{5C63C98D-EDAF-438A-A5BB-828A0B14B408}"/>
    <hyperlink ref="J139" location="Stage!j139" tooltip="Medium Risk" display="Stage!j139" xr:uid="{B33D8D59-BDED-4645-8E6F-5BE5F74CE688}"/>
    <hyperlink ref="J140" location="Stage!j140" tooltip="Medium Risk" display="Stage!j140" xr:uid="{533E1064-E183-4220-8C75-6C02A62E2CD1}"/>
    <hyperlink ref="J141" location="Stage!j141" tooltip="Medium Risk" display="Stage!j141" xr:uid="{CB20C948-189C-46A5-A38A-C124AFFF8D6B}"/>
    <hyperlink ref="J142" location="Stage!j142" tooltip="Medium Risk" display="Stage!j142" xr:uid="{E303B632-D01C-4ED6-B138-4EE569C8B393}"/>
    <hyperlink ref="J143" location="Stage!j143" tooltip="Medium Risk" display="Stage!j143" xr:uid="{A9B5B392-B5DD-4E8A-952A-BC7784CB95BF}"/>
    <hyperlink ref="K14" location="Stage!k14" tooltip="High Risk" display="Stage!k14" xr:uid="{46229654-5E29-4D7D-8BB4-79F1A900C54C}"/>
    <hyperlink ref="K15" location="Stage!k15" tooltip="High Risk" display="Stage!k15" xr:uid="{FAC3849E-4780-4AFA-9574-01B17D699C89}"/>
    <hyperlink ref="K16" location="Stage!k16" tooltip="High Risk" display="Stage!k16" xr:uid="{DC8A2346-F6A3-4AAA-A25E-FC436C0A82BB}"/>
    <hyperlink ref="K17" location="Stage!k17" tooltip="High Risk" display="Stage!k17" xr:uid="{60C5E357-6A84-4C66-8180-439F68878A40}"/>
    <hyperlink ref="K18" location="Stage!k18" tooltip="High Risk" display="Stage!k18" xr:uid="{0889E7AB-652F-4DB4-9EDA-BA0E82EC7712}"/>
    <hyperlink ref="K19" location="Stage!k19" tooltip="High Risk" display="Stage!k19" xr:uid="{85383193-3BD8-447E-BDAC-17EB0920B9CE}"/>
    <hyperlink ref="K20" location="Stage!k20" tooltip="High Risk" display="Stage!k20" xr:uid="{8B0D0189-FA77-49A5-BBFB-C09AB2EE8EE9}"/>
    <hyperlink ref="K21" location="Stage!k21" tooltip="High Risk" display="Stage!k21" xr:uid="{4757F1FD-0A08-4207-8F70-9EE381FEFEAF}"/>
    <hyperlink ref="K22" location="Stage!k22" tooltip="High Risk" display="Stage!k22" xr:uid="{04C5CD8C-52BC-4DC5-B968-5088EF9920A8}"/>
    <hyperlink ref="K23" location="Stage!k23" tooltip="High Risk" display="Stage!k23" xr:uid="{88284536-BE33-4CFE-B8BB-B78DA5611B3E}"/>
    <hyperlink ref="K24" location="Stage!k24" tooltip="High Risk" display="Stage!k24" xr:uid="{4299AAE0-2AEC-4982-B636-C1F62E41D207}"/>
    <hyperlink ref="K25" location="Stage!k25" tooltip="High Risk" display="Stage!k25" xr:uid="{F565F94F-0666-4A8B-8AA2-143EE737BCCD}"/>
    <hyperlink ref="K26" location="Stage!k26" tooltip="High Risk" display="Stage!k26" xr:uid="{31834B5F-5366-4DC0-857C-47D32EFA327B}"/>
    <hyperlink ref="K27" location="Stage!k27" tooltip="High Risk" display="Stage!k27" xr:uid="{1A71474A-9040-4237-9C19-E03C1C9DF41A}"/>
    <hyperlink ref="K28" location="Stage!k28" tooltip="High Risk" display="Stage!k28" xr:uid="{8E40FA3E-008B-4C31-A023-34351DC8D942}"/>
    <hyperlink ref="K29" location="Stage!k29" tooltip="High Risk" display="Stage!k29" xr:uid="{179E1F0F-0AA1-4FA2-B381-231D6B1D6331}"/>
    <hyperlink ref="K30" location="Stage!k30" tooltip="High Risk" display="Stage!k30" xr:uid="{A4CC622B-F3D4-4BD4-B254-DD404619CDCF}"/>
    <hyperlink ref="K31" location="Stage!k31" tooltip="High Risk" display="Stage!k31" xr:uid="{9FEFA661-A099-4211-A803-E7005AE26201}"/>
    <hyperlink ref="K32" location="Stage!k32" tooltip="High Risk" display="Stage!k32" xr:uid="{A51DFC2D-3554-4AED-A56B-BD7572E8258A}"/>
    <hyperlink ref="K33" location="Stage!k33" tooltip="High Risk" display="Stage!k33" xr:uid="{641D5F0D-E747-4415-BAFE-A7BCFAF23BEC}"/>
    <hyperlink ref="K36" location="Stage!k36" tooltip="High Risk" display="Stage!k36" xr:uid="{7B41C8C9-158E-435E-A939-B3AA3E16FA9C}"/>
    <hyperlink ref="K37" location="Stage!k37" tooltip="High Risk" display="Stage!k37" xr:uid="{37C6E7D2-CD86-4954-9218-316CC10BC1F5}"/>
    <hyperlink ref="K38" location="Stage!k38" tooltip="High Risk" display="Stage!k38" xr:uid="{0D109F9C-286D-4202-9D04-07C05C090D90}"/>
    <hyperlink ref="K39" location="Stage!k39" tooltip="High Risk" display="Stage!k39" xr:uid="{896588CB-EE10-458D-B308-AE87A1BFB5DD}"/>
    <hyperlink ref="K40" location="Stage!k40" tooltip="High Risk" display="Stage!k40" xr:uid="{1C0CD112-FB58-4CC4-B09B-C3740D6FE88A}"/>
    <hyperlink ref="K41" location="Stage!k41" tooltip="High Risk" display="Stage!k41" xr:uid="{C39BB5C7-BCA7-44F8-8D5A-1B83576B68FA}"/>
    <hyperlink ref="K42" location="Stage!k42" tooltip="High Risk" display="Stage!k42" xr:uid="{DD1467C7-5F6A-4218-BACF-09785235E51F}"/>
    <hyperlink ref="K43" location="Stage!k43" tooltip="High Risk" display="Stage!k43" xr:uid="{E044ACAE-7C5A-432C-9C1E-DDC67190B643}"/>
    <hyperlink ref="K44" location="Stage!k44" tooltip="High Risk" display="Stage!k44" xr:uid="{1E8B90F9-0FA9-48A9-9924-A3EBAC23E87F}"/>
    <hyperlink ref="K45" location="Stage!k45" tooltip="High Risk" display="Stage!k45" xr:uid="{CD9DC0C3-073B-4D0F-A07A-C147AF7CEAED}"/>
    <hyperlink ref="K46" location="Stage!k46" tooltip="High Risk" display="Stage!k46" xr:uid="{7B9863B8-34AB-488F-9FFC-7F6BEB503700}"/>
    <hyperlink ref="K47" location="Stage!k47" tooltip="High Risk" display="Stage!k47" xr:uid="{42EE76F4-C670-4970-8921-5A0D9AB5BE29}"/>
    <hyperlink ref="K48" location="Stage!k48" tooltip="High Risk" display="Stage!k48" xr:uid="{35DF0F01-E127-42C0-8FC5-1BB8A5A2A2F0}"/>
    <hyperlink ref="K49" location="Stage!k49" tooltip="High Risk" display="Stage!k49" xr:uid="{3EB3121E-2C62-469B-9E51-9927FC3E3514}"/>
    <hyperlink ref="K50" location="Stage!k50" tooltip="High Risk" display="Stage!k50" xr:uid="{AEC62CAC-CBDD-4598-A0A7-6FC6F4112DBC}"/>
    <hyperlink ref="K51" location="Stage!k51" tooltip="High Risk" display="Stage!k51" xr:uid="{90908057-C44E-4E57-A71F-95F7B374D520}"/>
    <hyperlink ref="K52" location="Stage!k52" tooltip="High Risk" display="Stage!k52" xr:uid="{9D17A760-CFB7-440A-9C16-4377BB75532F}"/>
    <hyperlink ref="K53" location="Stage!k53" tooltip="High Risk" display="Stage!k53" xr:uid="{643948DA-2BC5-4725-BD52-74B38BCB18B2}"/>
    <hyperlink ref="K54" location="Stage!k54" tooltip="High Risk" display="Stage!k54" xr:uid="{F503472E-90AD-4049-BC18-2629A92892EF}"/>
    <hyperlink ref="K55" location="Stage!k55" tooltip="High Risk" display="Stage!k55" xr:uid="{8BC65315-E206-496D-AB72-FDFCE10BAD67}"/>
    <hyperlink ref="K58" location="Stage!k58" tooltip="High Risk" display="Stage!k58" xr:uid="{82392680-C2C6-425F-8621-AD2B993B4BA8}"/>
    <hyperlink ref="K59" location="Stage!k59" tooltip="High Risk" display="Stage!k59" xr:uid="{05E2AFE3-7FF7-4891-AC57-85FFDB0A07EC}"/>
    <hyperlink ref="K60" location="Stage!k60" tooltip="High Risk" display="Stage!k60" xr:uid="{9E7314C7-245F-4D57-8AAB-40DEA08AE526}"/>
    <hyperlink ref="K61" location="Stage!k61" tooltip="High Risk" display="Stage!k61" xr:uid="{05803CC5-4B1F-4FF9-A770-83726B76C298}"/>
    <hyperlink ref="K62" location="Stage!k62" tooltip="High Risk" display="Stage!k62" xr:uid="{0B6CE8BE-0544-41B4-BD4D-7D39991E0EE7}"/>
    <hyperlink ref="K63" location="Stage!k63" tooltip="High Risk" display="Stage!k63" xr:uid="{1D9BB28C-8839-4B7A-A132-7C6C23EFA22C}"/>
    <hyperlink ref="K64" location="Stage!k64" tooltip="High Risk" display="Stage!k64" xr:uid="{AF1B724F-5F6F-4E2E-AEC7-D21E28D10B7C}"/>
    <hyperlink ref="K65" location="Stage!k65" tooltip="High Risk" display="Stage!k65" xr:uid="{D598CDB3-BC4F-4A92-B919-DE71648AD64D}"/>
    <hyperlink ref="K66" location="Stage!k66" tooltip="High Risk" display="Stage!k66" xr:uid="{2CD190E5-EF9B-4806-BC7A-53DC94216178}"/>
    <hyperlink ref="K67" location="Stage!k67" tooltip="High Risk" display="Stage!k67" xr:uid="{3FE8063E-9D88-4996-92DE-3FD629BA4610}"/>
    <hyperlink ref="K68" location="Stage!k68" tooltip="High Risk" display="Stage!k68" xr:uid="{1DFCCEDE-2677-4D44-B105-C0B21B2EF41A}"/>
    <hyperlink ref="K69" location="Stage!k69" tooltip="High Risk" display="Stage!k69" xr:uid="{A3A74E29-EDE4-45EF-9044-754E77B9E48F}"/>
    <hyperlink ref="K70" location="Stage!k70" tooltip="High Risk" display="Stage!k70" xr:uid="{68B0D2B3-305B-4484-B6A9-1CD5121B90C7}"/>
    <hyperlink ref="K71" location="Stage!k71" tooltip="High Risk" display="Stage!k71" xr:uid="{EDBA45CC-91C0-4170-A5FD-000799FAABE7}"/>
    <hyperlink ref="K72" location="Stage!k72" tooltip="High Risk" display="Stage!k72" xr:uid="{96B13582-EDAC-482E-B19F-0FEB30B50836}"/>
    <hyperlink ref="K73" location="Stage!k73" tooltip="High Risk" display="Stage!k73" xr:uid="{2B354D34-66A4-4F24-8977-233B0EEDA50C}"/>
    <hyperlink ref="K74" location="Stage!k74" tooltip="High Risk" display="Stage!k74" xr:uid="{9ABF70B7-58DB-47DF-AD51-B09523623940}"/>
    <hyperlink ref="K75" location="Stage!k75" tooltip="High Risk" display="Stage!k75" xr:uid="{E25899F4-86EF-4DA4-87B0-1F6C2311076D}"/>
    <hyperlink ref="K76" location="Stage!k76" tooltip="High Risk" display="Stage!k76" xr:uid="{620173A7-DBAE-4A5A-B9AF-65B2096022AE}"/>
    <hyperlink ref="K77" location="Stage!k77" tooltip="High Risk" display="Stage!k77" xr:uid="{D70EE28C-6AAE-4733-AAA5-D58A43306A46}"/>
    <hyperlink ref="K80" location="Stage!k80" tooltip="High Risk" display="Stage!k80" xr:uid="{BF701DC0-995A-41AE-8379-175F6FD1211F}"/>
    <hyperlink ref="K81" location="Stage!k81" tooltip="High Risk" display="Stage!k81" xr:uid="{948066BA-0F0B-468B-8852-FBD46CC5E9B5}"/>
    <hyperlink ref="K82" location="Stage!k82" tooltip="High Risk" display="Stage!k82" xr:uid="{F99E8E83-9CB2-4300-BAC2-80779BB38A89}"/>
    <hyperlink ref="K83" location="Stage!k83" tooltip="High Risk" display="Stage!k83" xr:uid="{47036B54-C056-4D92-A718-3E44394E1365}"/>
    <hyperlink ref="K84" location="Stage!k84" tooltip="High Risk" display="Stage!k84" xr:uid="{713B9332-B501-4CF2-8167-368695BF5C1B}"/>
    <hyperlink ref="K85" location="Stage!k85" tooltip="High Risk" display="Stage!k85" xr:uid="{4AFDAAB9-BCAF-499A-A8F5-D3533F5D03D4}"/>
    <hyperlink ref="K86" location="Stage!k86" tooltip="High Risk" display="Stage!k86" xr:uid="{259C633F-3311-4EA6-AA80-115A908D4F28}"/>
    <hyperlink ref="K87" location="Stage!k87" tooltip="High Risk" display="Stage!k87" xr:uid="{9866A44D-8DD0-4D8C-84EF-A305E2545E00}"/>
    <hyperlink ref="K88" location="Stage!k88" tooltip="High Risk" display="Stage!k88" xr:uid="{4F1F65DE-699C-488D-B0AE-694621AFCBCB}"/>
    <hyperlink ref="K89" location="Stage!k89" tooltip="High Risk" display="Stage!k89" xr:uid="{EAE547E3-77DE-44CF-B357-F46DBDACD992}"/>
    <hyperlink ref="K90" location="Stage!k90" tooltip="High Risk" display="Stage!k90" xr:uid="{FAAAE8A5-E1B8-4F5F-84FF-EF40E2029C0D}"/>
    <hyperlink ref="K91" location="Stage!k91" tooltip="High Risk" display="Stage!k91" xr:uid="{724D8B7D-6C31-4667-BFDF-E3B24B0B4363}"/>
    <hyperlink ref="K92" location="Stage!k92" tooltip="High Risk" display="Stage!k92" xr:uid="{B6596D49-3972-425C-97EB-C8CBDCFDE81A}"/>
    <hyperlink ref="K93" location="Stage!k93" tooltip="High Risk" display="Stage!k93" xr:uid="{4D52AEAB-CD70-42CE-8BAF-4A94C0880013}"/>
    <hyperlink ref="K94" location="Stage!k94" tooltip="High Risk" display="Stage!k94" xr:uid="{BDEBF80F-8DBB-4924-9CCE-7755099DC0F5}"/>
    <hyperlink ref="K95" location="Stage!k95" tooltip="High Risk" display="Stage!k95" xr:uid="{2CC89873-1CA6-431F-A0D1-41BDB6D4744F}"/>
    <hyperlink ref="K96" location="Stage!k96" tooltip="High Risk" display="Stage!k96" xr:uid="{440EC2DB-8A42-4D88-8F13-E761E3E5CBD3}"/>
    <hyperlink ref="K97" location="Stage!k97" tooltip="High Risk" display="Stage!k97" xr:uid="{FDD88D6F-D878-4EDD-88A9-AD5764D7E6E3}"/>
    <hyperlink ref="K98" location="Stage!k98" tooltip="High Risk" display="Stage!k98" xr:uid="{F0045FC1-05CA-4AB1-B6C6-49B92DC78443}"/>
    <hyperlink ref="K99" location="Stage!k99" tooltip="High Risk" display="Stage!k99" xr:uid="{E4D334E0-A7F5-4265-B2BD-716BC0E9BCF1}"/>
    <hyperlink ref="K102" location="Stage!k102" tooltip="High Risk" display="Stage!k102" xr:uid="{FD924A26-7C9C-4570-AF4E-C4E7B1CF4016}"/>
    <hyperlink ref="K103" location="Stage!k103" tooltip="High Risk" display="Stage!k103" xr:uid="{6409240E-11B5-4469-BE31-49AFD18BC9E9}"/>
    <hyperlink ref="K104" location="Stage!k104" tooltip="High Risk" display="Stage!k104" xr:uid="{68B9A3A0-2906-480F-AEDD-3FCB87D004F2}"/>
    <hyperlink ref="K105" location="Stage!k105" tooltip="High Risk" display="Stage!k105" xr:uid="{041065DF-4243-40F8-BFBA-B5EF0B6CDD2A}"/>
    <hyperlink ref="K106" location="Stage!k106" tooltip="High Risk" display="Stage!k106" xr:uid="{E835C4D1-1786-4DC0-9077-4D8CA27AEBEB}"/>
    <hyperlink ref="K107" location="Stage!k107" tooltip="High Risk" display="Stage!k107" xr:uid="{F9D14507-2AF3-43F7-94BD-6D69F645B31F}"/>
    <hyperlink ref="K108" location="Stage!k108" tooltip="High Risk" display="Stage!k108" xr:uid="{74BB523D-3FC1-412D-B633-8279CE17A1D2}"/>
    <hyperlink ref="K109" location="Stage!k109" tooltip="High Risk" display="Stage!k109" xr:uid="{A0B0A3EC-ACA7-4592-B8EB-0AD56422A6F0}"/>
    <hyperlink ref="K110" location="Stage!k110" tooltip="High Risk" display="Stage!k110" xr:uid="{37AF2681-409A-4852-A89F-8D38CF4C1DF0}"/>
    <hyperlink ref="K111" location="Stage!k111" tooltip="High Risk" display="Stage!k111" xr:uid="{1BADF111-956A-47A8-84CC-23A6CD3B2C16}"/>
    <hyperlink ref="K112" location="Stage!k112" tooltip="High Risk" display="Stage!k112" xr:uid="{62B8D71F-C9B6-43FA-A8F4-97A176D3787F}"/>
    <hyperlink ref="K113" location="Stage!k113" tooltip="High Risk" display="Stage!k113" xr:uid="{CE9D9E3E-6871-40CE-99F1-DC6C70B0358D}"/>
    <hyperlink ref="K114" location="Stage!k114" tooltip="High Risk" display="Stage!k114" xr:uid="{056310E3-21C3-4878-8B09-A700C2C54F1C}"/>
    <hyperlink ref="K115" location="Stage!k115" tooltip="High Risk" display="Stage!k115" xr:uid="{9382B443-D0FC-465B-803F-BF6BDDD4B89C}"/>
    <hyperlink ref="K116" location="Stage!k116" tooltip="High Risk" display="Stage!k116" xr:uid="{EEB75B12-474C-4E25-8652-E8ABA4F4855B}"/>
    <hyperlink ref="K117" location="Stage!k117" tooltip="High Risk" display="Stage!k117" xr:uid="{A0129B25-FD83-49AE-979D-7E61496A1BA5}"/>
    <hyperlink ref="K118" location="Stage!k118" tooltip="High Risk" display="Stage!k118" xr:uid="{1E6B84CA-EEB8-4247-822B-16217FCA58A3}"/>
    <hyperlink ref="K119" location="Stage!k119" tooltip="High Risk" display="Stage!k119" xr:uid="{5D10C36E-01CA-4D67-A1AE-8596B9159A0E}"/>
    <hyperlink ref="K120" location="Stage!k120" tooltip="High Risk" display="Stage!k120" xr:uid="{98FAD6C4-0660-4629-97B9-3CFE03ABF649}"/>
    <hyperlink ref="K121" location="Stage!k121" tooltip="High Risk" display="Stage!k121" xr:uid="{ECE2BFA9-B275-49DF-B9D1-C2D0290D99AE}"/>
    <hyperlink ref="K124" location="Stage!k124" tooltip="High Risk" display="Stage!k124" xr:uid="{D2F78160-A73E-4268-A45F-7031B8C8A8CF}"/>
    <hyperlink ref="K125" location="Stage!k125" tooltip="High Risk" display="Stage!k125" xr:uid="{604E1186-3019-48F1-AFE4-7DFE8AFB1E55}"/>
    <hyperlink ref="K126" location="Stage!k126" tooltip="High Risk" display="Stage!k126" xr:uid="{1846F6C6-FDD2-4C6E-89A2-597B0EEC5AD2}"/>
    <hyperlink ref="K127" location="Stage!k127" tooltip="High Risk" display="Stage!k127" xr:uid="{65B733CC-0A27-40AA-9D48-702A364C7F18}"/>
    <hyperlink ref="K128" location="Stage!k128" tooltip="High Risk" display="Stage!k128" xr:uid="{FF098078-6048-4DA7-8B1A-BAFECB79FD28}"/>
    <hyperlink ref="K129" location="Stage!k129" tooltip="High Risk" display="Stage!k129" xr:uid="{AE72CF29-ED01-4864-8D5F-E9CC7C34E85C}"/>
    <hyperlink ref="K130" location="Stage!k130" tooltip="High Risk" display="Stage!k130" xr:uid="{BBC09D92-4502-4F21-B75D-4DA2C426F055}"/>
    <hyperlink ref="K131" location="Stage!k131" tooltip="High Risk" display="Stage!k131" xr:uid="{781A7580-323D-4D48-B76C-2CF138D68DC0}"/>
    <hyperlink ref="K132" location="Stage!k132" tooltip="High Risk" display="Stage!k132" xr:uid="{2A5F652B-9835-4DBE-AB08-F1FE8AC50CC5}"/>
    <hyperlink ref="K133" location="Stage!k133" tooltip="High Risk" display="Stage!k133" xr:uid="{CF6A21BB-C0C6-4680-8E2B-1F49B670BBD0}"/>
    <hyperlink ref="K134" location="Stage!k134" tooltip="High Risk" display="Stage!k134" xr:uid="{3A85ABA0-31C4-4AEA-BA54-146171056AB2}"/>
    <hyperlink ref="K135" location="Stage!k135" tooltip="High Risk" display="Stage!k135" xr:uid="{F0855316-1F98-4475-99C4-6CAB794D86DB}"/>
    <hyperlink ref="K136" location="Stage!k136" tooltip="High Risk" display="Stage!k136" xr:uid="{C45BB4F9-6D25-4AB9-A5B3-6862697311A9}"/>
    <hyperlink ref="K137" location="Stage!k137" tooltip="High Risk" display="Stage!k137" xr:uid="{43931D63-108A-4D18-9ACC-D2FB30833E3B}"/>
    <hyperlink ref="K138" location="Stage!k138" tooltip="High Risk" display="Stage!k138" xr:uid="{422D2458-C953-4828-84FB-99A9E7430C74}"/>
    <hyperlink ref="K139" location="Stage!k139" tooltip="High Risk" display="Stage!k139" xr:uid="{688C6AEF-A430-421C-B4A3-36BA61BC5633}"/>
    <hyperlink ref="K140" location="Stage!k140" tooltip="High Risk" display="Stage!k140" xr:uid="{85061770-7701-4A09-9ADE-9197EEE5465D}"/>
    <hyperlink ref="K141" location="Stage!k141" tooltip="High Risk" display="Stage!k141" xr:uid="{56A9675D-456E-4AA7-ADE1-A506D8065F33}"/>
    <hyperlink ref="K142" location="Stage!k142" tooltip="High Risk" display="Stage!k142" xr:uid="{6D143865-7CC8-48E4-9654-0F82F71E43AC}"/>
    <hyperlink ref="K143" location="Stage!k143" tooltip="High Risk" display="Stage!k143" xr:uid="{0879018F-D42C-48F6-8646-C97696B194F9}"/>
    <hyperlink ref="L14" location="Stage!l14" tooltip="N/A" display="Stage!l14" xr:uid="{BEF6CA6C-1D26-4AA4-B776-AC1AADCD0892}"/>
    <hyperlink ref="L15" location="Stage!l15" tooltip="N/A" display="Stage!l15" xr:uid="{E4EE52CF-E15A-43B1-AEEC-1AA5B674C23D}"/>
    <hyperlink ref="L16" location="Stage!l16" tooltip="N/A" display="Stage!l16" xr:uid="{5FE18C0A-D03B-48BF-B5B9-CA1C0A6A82A1}"/>
    <hyperlink ref="L17" location="Stage!l17" tooltip="N/A" display="Stage!l17" xr:uid="{48F1B5B5-FBA2-40B2-B74C-1032CDA0399F}"/>
    <hyperlink ref="L18" location="Stage!l18" tooltip="N/A" display="Stage!l18" xr:uid="{7CE75665-82CA-4376-98C1-3D5E52362193}"/>
    <hyperlink ref="L19" location="Stage!l19" tooltip="N/A" display="Stage!l19" xr:uid="{15DD5170-E3D4-44F2-9C05-2B635A7F5B96}"/>
    <hyperlink ref="L20" location="Stage!l20" tooltip="N/A" display="Stage!l20" xr:uid="{5BB76E64-FADE-41B2-A06E-6BE5B63E45E6}"/>
    <hyperlink ref="L21" location="Stage!l21" tooltip="N/A" display="Stage!l21" xr:uid="{AC1BFC08-BDDB-4B58-9C61-D0AC9EA799A6}"/>
    <hyperlink ref="L22" location="Stage!l22" tooltip="N/A" display="Stage!l22" xr:uid="{0B04CF20-57F0-4055-BF28-4E67734EB013}"/>
    <hyperlink ref="L23" location="Stage!l23" tooltip="N/A" display="Stage!l23" xr:uid="{D1B0A1C6-5212-436B-BD86-A52C197BD1F4}"/>
    <hyperlink ref="L24" location="Stage!l24" tooltip="N/A" display="Stage!l24" xr:uid="{46595F5E-49A3-4BEF-8B60-E7F1523640B2}"/>
    <hyperlink ref="L25" location="Stage!l25" tooltip="N/A" display="Stage!l25" xr:uid="{C0818405-C264-498A-983E-6B3DB8B6CCEB}"/>
    <hyperlink ref="L26" location="Stage!l26" tooltip="N/A" display="Stage!l26" xr:uid="{A3197F80-4FE3-4D2D-B5EB-E10E9841C4A3}"/>
    <hyperlink ref="L27" location="Stage!l27" tooltip="N/A" display="Stage!l27" xr:uid="{25F14CC7-64E7-4404-875B-64FD1CC792B7}"/>
    <hyperlink ref="L28" location="Stage!l28" tooltip="N/A" display="Stage!l28" xr:uid="{2861DB41-9046-4E99-BB01-6AEFC30296A7}"/>
    <hyperlink ref="L29" location="Stage!l29" tooltip="N/A" display="Stage!l29" xr:uid="{4E9BD93E-47B3-4361-8EDA-D9968895CCAF}"/>
    <hyperlink ref="L30" location="Stage!l30" tooltip="N/A" display="Stage!l30" xr:uid="{6798935C-A81C-4D3F-A540-4DC20869FDC5}"/>
    <hyperlink ref="L31" location="Stage!l31" tooltip="N/A" display="Stage!l31" xr:uid="{2208EE59-C639-470F-9286-1F192FE32D14}"/>
    <hyperlink ref="L32" location="Stage!l32" tooltip="N/A" display="Stage!l32" xr:uid="{4AFD7DC7-51D3-44ED-A98C-C20A47DDADD6}"/>
    <hyperlink ref="L33" location="Stage!l33" tooltip="N/A" display="Stage!l33" xr:uid="{D466AB52-1E28-4D9E-B4B9-A106C84F107E}"/>
    <hyperlink ref="L36" location="Stage!l36" tooltip="N/A" display="Stage!l36" xr:uid="{6197D86F-D179-476E-89A1-E22F3336F0A7}"/>
    <hyperlink ref="L37" location="Stage!l37" tooltip="N/A" display="Stage!l37" xr:uid="{0844C6D9-FA88-489A-B4C0-5A3C5317157D}"/>
    <hyperlink ref="L38" location="Stage!l38" tooltip="N/A" display="Stage!l38" xr:uid="{62B91BB2-B282-4659-A963-C308BF68C172}"/>
    <hyperlink ref="L39" location="Stage!l39" tooltip="N/A" display="Stage!l39" xr:uid="{602BE5C4-16CF-4FC9-A4E0-140094116FF8}"/>
    <hyperlink ref="L40" location="Stage!l40" tooltip="N/A" display="Stage!l40" xr:uid="{8DFDA912-7D74-4533-8B7A-C4045E7F5C51}"/>
    <hyperlink ref="L41" location="Stage!l41" tooltip="N/A" display="Stage!l41" xr:uid="{E9ED0C54-7805-4BD2-AB2E-5B14DF8D17E0}"/>
    <hyperlink ref="L42" location="Stage!l42" tooltip="N/A" display="Stage!l42" xr:uid="{D4F6FB09-84B1-4C71-ACD9-86062E535373}"/>
    <hyperlink ref="L43" location="Stage!l43" tooltip="N/A" display="Stage!l43" xr:uid="{C9C8C227-9639-4E3D-9994-FF627814D83D}"/>
    <hyperlink ref="L44" location="Stage!l44" tooltip="N/A" display="Stage!l44" xr:uid="{ADEB1D9A-A0F2-47A1-821C-BB0D4B9C6BF6}"/>
    <hyperlink ref="L45" location="Stage!l45" tooltip="N/A" display="Stage!l45" xr:uid="{7FC8C804-D974-4A6A-B106-EF12DBCE9E68}"/>
    <hyperlink ref="L46" location="Stage!l46" tooltip="N/A" display="Stage!l46" xr:uid="{929E983F-65C2-47A4-9F3F-7D39D03779DF}"/>
    <hyperlink ref="L47" location="Stage!l47" tooltip="N/A" display="Stage!l47" xr:uid="{9B6DE231-5603-45D1-9620-AA6DDF404E01}"/>
    <hyperlink ref="L48" location="Stage!l48" tooltip="N/A" display="Stage!l48" xr:uid="{9C38EE17-7C44-4EE7-82A1-BD0A847172E3}"/>
    <hyperlink ref="L49" location="Stage!l49" tooltip="N/A" display="Stage!l49" xr:uid="{BCFD4DDC-7E8F-4123-99D8-55B8302FB212}"/>
    <hyperlink ref="L50" location="Stage!l50" tooltip="N/A" display="Stage!l50" xr:uid="{7C6F9C00-DF5E-4490-8834-A61026C42172}"/>
    <hyperlink ref="L51" location="Stage!l51" tooltip="N/A" display="Stage!l51" xr:uid="{F4644CC0-5C0B-4BFA-A606-5863ABBDBE07}"/>
    <hyperlink ref="L52" location="Stage!l52" tooltip="N/A" display="Stage!l52" xr:uid="{FECCAB7C-0EC4-49EC-86BF-9AA0042AE3E5}"/>
    <hyperlink ref="L53" location="Stage!l53" tooltip="N/A" display="Stage!l53" xr:uid="{B4A65637-A8DB-4AE4-BAD6-0FE3A0CC44F4}"/>
    <hyperlink ref="L54" location="Stage!l54" tooltip="N/A" display="Stage!l54" xr:uid="{E20D5BA3-FBF3-47AE-AD1E-78908EC58511}"/>
    <hyperlink ref="L55" location="Stage!l55" tooltip="N/A" display="Stage!l55" xr:uid="{2B40AC8A-03DB-4558-8000-40AF6F43CEEC}"/>
    <hyperlink ref="L58" location="Stage!l58" tooltip="N/A" display="Stage!l58" xr:uid="{4BDABAD7-4120-4BF6-A926-4F5203BC560E}"/>
    <hyperlink ref="L59" location="Stage!l59" tooltip="N/A" display="Stage!l59" xr:uid="{658CAEE4-1A96-437C-9B44-7EF2079E12C2}"/>
    <hyperlink ref="L60" location="Stage!l60" tooltip="N/A" display="Stage!l60" xr:uid="{D2AB43C4-7679-4E7A-877A-72DB4ACC2992}"/>
    <hyperlink ref="L61" location="Stage!l61" tooltip="N/A" display="Stage!l61" xr:uid="{F2BB007A-C412-4DCD-97E7-825474A850E8}"/>
    <hyperlink ref="L62" location="Stage!l62" tooltip="N/A" display="Stage!l62" xr:uid="{929AC989-EB2D-4538-8C02-78F8A927AB16}"/>
    <hyperlink ref="L63" location="Stage!l63" tooltip="N/A" display="Stage!l63" xr:uid="{0AAEEE82-4BC2-443D-830C-0ECC5757E94D}"/>
    <hyperlink ref="L64" location="Stage!l64" tooltip="N/A" display="Stage!l64" xr:uid="{59C1F744-5FE1-4090-B06A-78D8684FF4A1}"/>
    <hyperlink ref="L65" location="Stage!l65" tooltip="N/A" display="Stage!l65" xr:uid="{EF8DBD7B-2D4A-4513-A67E-9DB5580B3ACE}"/>
    <hyperlink ref="L66" location="Stage!l66" tooltip="N/A" display="Stage!l66" xr:uid="{90E27436-2A4E-46EC-8A9F-B16A0961C3A6}"/>
    <hyperlink ref="L67" location="Stage!l67" tooltip="N/A" display="Stage!l67" xr:uid="{4861BCD2-C76D-4190-AF72-7CA6D52C1FAA}"/>
    <hyperlink ref="L68" location="Stage!l68" tooltip="N/A" display="Stage!l68" xr:uid="{1BD85A20-D758-4D5C-9371-8492E89B222C}"/>
    <hyperlink ref="L69" location="Stage!l69" tooltip="N/A" display="Stage!l69" xr:uid="{F9E29782-46B6-4B8A-BE30-1BB5F498A9B6}"/>
    <hyperlink ref="L70" location="Stage!l70" tooltip="N/A" display="Stage!l70" xr:uid="{9D2E39E5-8009-4218-B629-D93D0AC637A1}"/>
    <hyperlink ref="L71" location="Stage!l71" tooltip="N/A" display="Stage!l71" xr:uid="{DD9817C7-8F0B-4CDC-82DB-C0297E6BE8A7}"/>
    <hyperlink ref="L72" location="Stage!l72" tooltip="N/A" display="Stage!l72" xr:uid="{994626F2-2B96-4A3C-85AC-56C87DCD903D}"/>
    <hyperlink ref="L73" location="Stage!l73" tooltip="N/A" display="Stage!l73" xr:uid="{72E2C5FE-935F-4D70-82AD-6431AEE7B327}"/>
    <hyperlink ref="L74" location="Stage!l74" tooltip="N/A" display="Stage!l74" xr:uid="{5D4A91D9-4F3D-4B63-A181-123B253A9C29}"/>
    <hyperlink ref="L75" location="Stage!l75" tooltip="N/A" display="Stage!l75" xr:uid="{1CA97F05-4B40-414A-8E21-2CC433DA12F3}"/>
    <hyperlink ref="L76" location="Stage!l76" tooltip="N/A" display="Stage!l76" xr:uid="{3CE82E2C-F61F-4A9F-BBA3-38F334BF6ED4}"/>
    <hyperlink ref="L77" location="Stage!l77" tooltip="N/A" display="Stage!l77" xr:uid="{77D5BA3E-FD11-4BAD-932E-C7663F511B11}"/>
    <hyperlink ref="L80" location="Stage!l80" tooltip="N/A" display="Stage!l80" xr:uid="{F69AFBE5-551B-45D9-A2B9-D5317C2757E8}"/>
    <hyperlink ref="L81" location="Stage!l81" tooltip="N/A" display="Stage!l81" xr:uid="{47F84417-4B23-4543-8A50-2685B03F5387}"/>
    <hyperlink ref="L82" location="Stage!l82" tooltip="N/A" display="Stage!l82" xr:uid="{EE14CC7A-7292-4876-A1ED-615CB49696FB}"/>
    <hyperlink ref="L83" location="Stage!l83" tooltip="N/A" display="Stage!l83" xr:uid="{110490F8-3B2B-4A34-8F46-ABEA16101C8E}"/>
    <hyperlink ref="L84" location="Stage!l84" tooltip="N/A" display="Stage!l84" xr:uid="{593FDB6A-D6E2-42DB-BC98-4B4EE512BC02}"/>
    <hyperlink ref="L85" location="Stage!l85" tooltip="N/A" display="Stage!l85" xr:uid="{F07AE137-A926-4D9D-9AEA-D23CF1232A1E}"/>
    <hyperlink ref="L86" location="Stage!l86" tooltip="N/A" display="Stage!l86" xr:uid="{55162B0D-1EB7-43D9-BA0F-B32416F34D71}"/>
    <hyperlink ref="L87" location="Stage!l87" tooltip="N/A" display="Stage!l87" xr:uid="{AC2559E9-12F4-4A69-8949-FEF38A773C4D}"/>
    <hyperlink ref="L88" location="Stage!l88" tooltip="N/A" display="Stage!l88" xr:uid="{85ACDB7A-4F5C-4410-B134-FBBFC5B8C0D0}"/>
    <hyperlink ref="L89" location="Stage!l89" tooltip="N/A" display="Stage!l89" xr:uid="{274C3760-E319-4139-A2FA-0803873E96CA}"/>
    <hyperlink ref="L90" location="Stage!l90" tooltip="N/A" display="Stage!l90" xr:uid="{7350DDC6-3C08-4395-AB87-2572B9AE301C}"/>
    <hyperlink ref="L91" location="Stage!l91" tooltip="N/A" display="Stage!l91" xr:uid="{9BA2524A-937F-4B88-AEB4-C1ADAD28FADF}"/>
    <hyperlink ref="L92" location="Stage!l92" tooltip="N/A" display="Stage!l92" xr:uid="{47A39633-11B9-4E5C-AE54-C8BED2B9262B}"/>
    <hyperlink ref="L93" location="Stage!l93" tooltip="N/A" display="Stage!l93" xr:uid="{09CC1902-69D6-4FF6-9613-1D5ECF011288}"/>
    <hyperlink ref="L94" location="Stage!l94" tooltip="N/A" display="Stage!l94" xr:uid="{D8D89E5C-922C-4003-8716-974FDB1491B3}"/>
    <hyperlink ref="L95" location="Stage!l95" tooltip="N/A" display="Stage!l95" xr:uid="{8E406112-3774-41D7-8BCA-CCF4FC202A1F}"/>
    <hyperlink ref="L96" location="Stage!l96" tooltip="N/A" display="Stage!l96" xr:uid="{B5BA942C-5919-4ACF-8C80-53C14B30D557}"/>
    <hyperlink ref="L97" location="Stage!l97" tooltip="N/A" display="Stage!l97" xr:uid="{1DBBC361-9F59-41C7-A0ED-5BFEB4D202EE}"/>
    <hyperlink ref="L98" location="Stage!l98" tooltip="N/A" display="Stage!l98" xr:uid="{A3CBBF89-82B2-49C8-9F02-90345D3D531D}"/>
    <hyperlink ref="L99" location="Stage!l99" tooltip="N/A" display="Stage!l99" xr:uid="{F3B2BA92-D436-447C-8711-A47965184969}"/>
    <hyperlink ref="L102" location="Stage!l102" tooltip="N/A" display="Stage!l102" xr:uid="{F2D4068C-9E82-4F1B-AC6F-16A3EEC9ABBA}"/>
    <hyperlink ref="L103" location="Stage!l103" tooltip="N/A" display="Stage!l103" xr:uid="{5527ED48-60C8-4DDF-A677-B3BC7021C925}"/>
    <hyperlink ref="L104" location="Stage!l104" tooltip="N/A" display="Stage!l104" xr:uid="{9DBFD390-860C-48B6-995C-03CF3017AE26}"/>
    <hyperlink ref="L105" location="Stage!l105" tooltip="N/A" display="Stage!l105" xr:uid="{CD0A1D6A-8AA4-4DBE-AE5F-225E8A1E2601}"/>
    <hyperlink ref="L106" location="Stage!l106" tooltip="N/A" display="Stage!l106" xr:uid="{447ED7E0-4917-41CD-B101-7F0564232DD0}"/>
    <hyperlink ref="L107" location="Stage!l107" tooltip="N/A" display="Stage!l107" xr:uid="{85D1D547-D221-4F0A-9EA1-2B0A5C76B1F9}"/>
    <hyperlink ref="L108" location="Stage!l108" tooltip="N/A" display="Stage!l108" xr:uid="{ECCA0511-EB51-43AD-8F2F-C6347EEC276A}"/>
    <hyperlink ref="L109" location="Stage!l109" tooltip="N/A" display="Stage!l109" xr:uid="{07AAD0F7-F459-47B6-92C9-B2084373EEF0}"/>
    <hyperlink ref="L110" location="Stage!l110" tooltip="N/A" display="Stage!l110" xr:uid="{08103389-F99D-479B-A649-61F50EDB8014}"/>
    <hyperlink ref="L111" location="Stage!l111" tooltip="N/A" display="Stage!l111" xr:uid="{13109A0E-1E58-426D-9906-58E87E3B4637}"/>
    <hyperlink ref="L112" location="Stage!l112" tooltip="N/A" display="Stage!l112" xr:uid="{992C0035-85DB-4092-9E6E-54D4932F3AB5}"/>
    <hyperlink ref="L113" location="Stage!l113" tooltip="N/A" display="Stage!l113" xr:uid="{824423FE-48A4-4169-B291-3B075BE80BBA}"/>
    <hyperlink ref="L114" location="Stage!l114" tooltip="N/A" display="Stage!l114" xr:uid="{ADBF3E3C-324A-413C-A73C-3F6745D5D410}"/>
    <hyperlink ref="L115" location="Stage!l115" tooltip="N/A" display="Stage!l115" xr:uid="{8D0C8196-359D-4343-8D72-44CBFCF03425}"/>
    <hyperlink ref="L116" location="Stage!l116" tooltip="N/A" display="Stage!l116" xr:uid="{9716C1B8-5CFD-4E5D-BA81-A89B5368AA96}"/>
    <hyperlink ref="L117" location="Stage!l117" tooltip="N/A" display="Stage!l117" xr:uid="{EB917CD6-9373-465F-A764-FAF417EA9A53}"/>
    <hyperlink ref="L118" location="Stage!l118" tooltip="N/A" display="Stage!l118" xr:uid="{F093C25F-75FA-448E-9F90-3DD994B95B8D}"/>
    <hyperlink ref="L119" location="Stage!l119" tooltip="N/A" display="Stage!l119" xr:uid="{40823A06-3265-419A-A7C9-493867A905B0}"/>
    <hyperlink ref="L120" location="Stage!l120" tooltip="N/A" display="Stage!l120" xr:uid="{53D5D75E-3FB8-4288-8A76-0CC11799B62A}"/>
    <hyperlink ref="L121" location="Stage!l121" tooltip="N/A" display="Stage!l121" xr:uid="{B0E8D3A9-0A4C-4BEA-9AB7-FCA4B8254683}"/>
    <hyperlink ref="L124" location="Stage!l124" tooltip="N/A" display="Stage!l124" xr:uid="{3046E48E-C334-4C8C-89E5-94A12A78BB55}"/>
    <hyperlink ref="L125" location="Stage!l125" tooltip="N/A" display="Stage!l125" xr:uid="{6E79236A-EB4B-4721-8503-1B7B1D62C4EF}"/>
    <hyperlink ref="L126" location="Stage!l126" tooltip="N/A" display="Stage!l126" xr:uid="{1CB91712-91AB-491B-95A0-F9C1EA882590}"/>
    <hyperlink ref="L127" location="Stage!l127" tooltip="N/A" display="Stage!l127" xr:uid="{DE1F00ED-257E-4259-8D06-D08E2F1B6AEF}"/>
    <hyperlink ref="L128" location="Stage!l128" tooltip="N/A" display="Stage!l128" xr:uid="{EB31F032-A53A-4534-AB73-0F6C1B21E0F1}"/>
    <hyperlink ref="L129" location="Stage!l129" tooltip="N/A" display="Stage!l129" xr:uid="{51DBA7C8-DC10-4235-ADE2-7E5D098D45ED}"/>
    <hyperlink ref="L130" location="Stage!l130" tooltip="N/A" display="Stage!l130" xr:uid="{2DC0CDF1-565A-4622-9CA6-3E0C95D36356}"/>
    <hyperlink ref="L131" location="Stage!l131" tooltip="N/A" display="Stage!l131" xr:uid="{DF4675B8-083C-4A61-A724-CF111E040F04}"/>
    <hyperlink ref="L132" location="Stage!l132" tooltip="N/A" display="Stage!l132" xr:uid="{96496B4C-C734-4A0A-84C2-D3C1D651EE33}"/>
    <hyperlink ref="L133" location="Stage!l133" tooltip="N/A" display="Stage!l133" xr:uid="{017F9249-27DD-4709-BA00-F9B662B483FE}"/>
    <hyperlink ref="L134" location="Stage!l134" tooltip="N/A" display="Stage!l134" xr:uid="{21FC51E6-6032-4451-B40A-7317F3808C50}"/>
    <hyperlink ref="L135" location="Stage!l135" tooltip="N/A" display="Stage!l135" xr:uid="{54FD581E-A5A3-4DE5-9A8A-F337A9200567}"/>
    <hyperlink ref="L136" location="Stage!l136" tooltip="N/A" display="Stage!l136" xr:uid="{26630BB3-254A-462C-90BE-AC49F23A9010}"/>
    <hyperlink ref="L137" location="Stage!l137" tooltip="N/A" display="Stage!l137" xr:uid="{D2C6C8C4-D031-4988-977C-238254E1D249}"/>
    <hyperlink ref="L138" location="Stage!l138" tooltip="N/A" display="Stage!l138" xr:uid="{B8EB393F-A2D9-461E-B969-BFFA3A006FF8}"/>
    <hyperlink ref="L139" location="Stage!l139" tooltip="N/A" display="Stage!l139" xr:uid="{A776C999-C60F-4709-B824-1A90E27F6E19}"/>
    <hyperlink ref="L140" location="Stage!l140" tooltip="N/A" display="Stage!l140" xr:uid="{310F9456-9557-45B1-8AE4-6757545EB28E}"/>
    <hyperlink ref="L141" location="Stage!l141" tooltip="N/A" display="Stage!l141" xr:uid="{109D6B07-4DA5-46D6-8766-F87BBE0A9659}"/>
    <hyperlink ref="L142" location="Stage!l142" tooltip="N/A" display="Stage!l142" xr:uid="{6EFB27B0-E1DC-4C9E-98FA-0E4FF8FC4397}"/>
    <hyperlink ref="L143" location="Stage!l143" tooltip="N/A" display="Stage!l143" xr:uid="{26B05DD9-8ED4-44EF-9CF7-F58F06DD4A4B}"/>
    <hyperlink ref="G26" location="Stage!g26" tooltip="Edit Indicator" display="Stage!g26" xr:uid="{7E198F13-3844-4388-8F5C-8A805DFA1480}"/>
    <hyperlink ref="G27" location="Stage!g27" tooltip="Edit Indicator" display="Stage!g27" xr:uid="{6020B4F1-DD0B-4C73-A4E7-24BEBC35799C}"/>
    <hyperlink ref="G28" location="Stage!g28" tooltip="Edit Indicator" display="Stage!g28" xr:uid="{CF2CE6E9-497E-4789-8707-31EF6D26D3EB}"/>
    <hyperlink ref="G29" location="Stage!g29" tooltip="Edit Indicator" display="Stage!g29" xr:uid="{AD17C671-A983-405C-916B-17EABF7708D5}"/>
    <hyperlink ref="G30" location="Stage!g30" tooltip="Edit Indicator" display="Stage!g30" xr:uid="{B96D65B9-C767-4101-93A4-5402B4C37020}"/>
    <hyperlink ref="G31" location="Stage!g31" tooltip="Edit Indicator" display="Stage!g31" xr:uid="{C28F4D51-76FD-42E0-B4BA-3DDB7B7012CB}"/>
    <hyperlink ref="G32" location="Stage!g32" tooltip="Edit Indicator" display="Stage!g32" xr:uid="{BD3DBD88-53A9-48F8-85AE-6702248CC7B0}"/>
    <hyperlink ref="G33" location="Stage!g33" tooltip="Edit Indicator" display="Stage!g33" xr:uid="{FECD49C5-EDE1-44C0-832E-8DE0CC9A9AE4}"/>
    <hyperlink ref="G48" location="Stage!g48" tooltip="Edit Indicator" display="Stage!g48" xr:uid="{8C761982-A62F-456E-9579-C01C1EE08F00}"/>
    <hyperlink ref="G49" location="Stage!g49" tooltip="Edit Indicator" display="Stage!g49" xr:uid="{5E6335DE-FAC7-4BF9-9FB1-789E63314814}"/>
    <hyperlink ref="G50" location="Stage!g50" tooltip="Edit Indicator" display="Stage!g50" xr:uid="{EB79D982-3339-4687-B059-F424271EBBA7}"/>
    <hyperlink ref="G51" location="Stage!g51" tooltip="Edit Indicator" display="Stage!g51" xr:uid="{ECF62505-4958-42A0-985C-28D0217B6E8B}"/>
    <hyperlink ref="G52" location="Stage!g52" tooltip="Edit Indicator" display="Stage!g52" xr:uid="{9105F276-D3F8-4D43-B608-A7BF39985C6F}"/>
    <hyperlink ref="G53" location="Stage!g53" tooltip="Edit Indicator" display="Stage!g53" xr:uid="{F5CA0AB1-D227-4369-BA33-411D33A882F1}"/>
    <hyperlink ref="G54" location="Stage!g54" tooltip="Edit Indicator" display="Stage!g54" xr:uid="{7213CB7C-03B9-4BA7-97C0-38DA627A20EA}"/>
    <hyperlink ref="G55" location="Stage!g55" tooltip="Edit Indicator" display="Stage!g55" xr:uid="{6D3A5914-A59E-4FD8-BDEF-3B4F529BD913}"/>
    <hyperlink ref="G70" location="Stage!g70" tooltip="Edit Indicator" display="Stage!g70" xr:uid="{7C68B6EC-35B7-49C5-AFDA-E23AE677705B}"/>
    <hyperlink ref="G71" location="Stage!g71" tooltip="Edit Indicator" display="Stage!g71" xr:uid="{9ED29990-B911-4670-A842-1BB57AF19BDF}"/>
    <hyperlink ref="G72" location="Stage!g72" tooltip="Edit Indicator" display="Stage!g72" xr:uid="{B132E25A-B18A-49F7-ADD5-894C46689B9B}"/>
    <hyperlink ref="G73" location="Stage!g73" tooltip="Edit Indicator" display="Stage!g73" xr:uid="{E1A0D052-BE12-48F1-BF21-11101963A95F}"/>
    <hyperlink ref="G74" location="Stage!g74" tooltip="Edit Indicator" display="Stage!g74" xr:uid="{2376DA6C-1C5D-409D-991F-9F3F62554117}"/>
    <hyperlink ref="G75" location="Stage!g75" tooltip="Edit Indicator" display="Stage!g75" xr:uid="{3AACEB87-ED57-47AE-AA23-ABCA7C65F566}"/>
    <hyperlink ref="G76" location="Stage!g76" tooltip="Edit Indicator" display="Stage!g76" xr:uid="{DC14C0BC-5F81-4E82-B2D7-90622BC87B6F}"/>
    <hyperlink ref="G77" location="Stage!g77" tooltip="Edit Indicator" display="Stage!g77" xr:uid="{4AA16799-B0F6-457E-AC52-454BE993D7E8}"/>
    <hyperlink ref="G89" location="Stage!g89" tooltip="Edit Indicator" display="Stage!g89" xr:uid="{C2CD9B3E-2EC1-427D-A8DD-1E5DE97BCFF6}"/>
    <hyperlink ref="G90" location="Stage!g90" tooltip="Edit Indicator" display="Stage!g90" xr:uid="{93305194-DCAE-4A0F-9AE5-9333BA05F960}"/>
    <hyperlink ref="G91" location="Stage!g91" tooltip="Edit Indicator" display="Stage!g91" xr:uid="{314939D9-5855-488E-A7D6-9481E734A22F}"/>
    <hyperlink ref="G92" location="Stage!g92" tooltip="Edit Indicator" display="Stage!g92" xr:uid="{423F41CD-1BA2-42DF-AAB7-2F64BF339163}"/>
    <hyperlink ref="G93" location="Stage!g93" tooltip="Edit Indicator" display="Stage!g93" xr:uid="{EE90FE25-715F-4C95-91E0-EB7FEC563386}"/>
    <hyperlink ref="G94" location="Stage!g94" tooltip="Edit Indicator" display="Stage!g94" xr:uid="{FA1E200B-C915-4517-8E3D-1474B614CEEE}"/>
    <hyperlink ref="G95" location="Stage!g95" tooltip="Edit Indicator" display="Stage!g95" xr:uid="{1B3EEFB7-72DE-44CF-90DF-2A020EF429E3}"/>
    <hyperlink ref="G96" location="Stage!g96" tooltip="Edit Indicator" display="Stage!g96" xr:uid="{80DAB98A-E284-4C1C-8CD9-8F50BE2FDAA5}"/>
    <hyperlink ref="G97" location="Stage!g97" tooltip="Edit Indicator" display="Stage!g97" xr:uid="{5A0DC0E2-9412-4D03-BC17-426270574B0C}"/>
    <hyperlink ref="G98" location="Stage!g98" tooltip="Edit Indicator" display="Stage!g98" xr:uid="{42DBD8A5-B2BC-49D7-B01D-34CAE1DBF708}"/>
    <hyperlink ref="G99" location="Stage!g99" tooltip="Edit Indicator" display="Stage!g99" xr:uid="{15F16240-85DB-4F94-A388-6752EE92A389}"/>
    <hyperlink ref="G110" location="Stage!g110" tooltip="Edit Indicator" display="Stage!g110" xr:uid="{FB1ACD7F-6B85-434C-904A-431BA8266E94}"/>
    <hyperlink ref="G111" location="Stage!g111" tooltip="Edit Indicator" display="Stage!g111" xr:uid="{E3BFE004-28A3-4866-8B43-C3A0808054C2}"/>
    <hyperlink ref="G112" location="Stage!g112" tooltip="Edit Indicator" display="Stage!g112" xr:uid="{BCD989A1-FF65-4E41-9EB9-8D8C540BE566}"/>
    <hyperlink ref="G113" location="Stage!g113" tooltip="Edit Indicator" display="Stage!g113" xr:uid="{5FC0B82C-C679-44EF-B116-FEFEBCF066A8}"/>
    <hyperlink ref="G114" location="Stage!g114" tooltip="Edit Indicator" display="Stage!g114" xr:uid="{1621DDA3-9BFF-441B-A698-A2717A96275F}"/>
    <hyperlink ref="G115" location="Stage!g115" tooltip="Edit Indicator" display="Stage!g115" xr:uid="{D8DCCCEE-1C67-4674-A015-4CB91FFF0D76}"/>
    <hyperlink ref="G116" location="Stage!g116" tooltip="Edit Indicator" display="Stage!g116" xr:uid="{8A55996A-F92D-4632-9372-0B12AFC8238D}"/>
    <hyperlink ref="G117" location="Stage!g117" tooltip="Edit Indicator" display="Stage!g117" xr:uid="{A2917D41-B13D-4D0C-BCB6-E64B45324B64}"/>
    <hyperlink ref="G118" location="Stage!g118" tooltip="Edit Indicator" display="Stage!g118" xr:uid="{0CB30B7A-E60F-4BF0-A3BE-CDE8D8A48EA6}"/>
    <hyperlink ref="G119" location="Stage!g119" tooltip="Edit Indicator" display="Stage!g119" xr:uid="{4C1C5A56-F20A-4B98-B708-9403DE0138D2}"/>
    <hyperlink ref="G120" location="Stage!g120" tooltip="Edit Indicator" display="Stage!g120" xr:uid="{D4FA4AB2-B88C-49F2-B080-AE80A998F419}"/>
    <hyperlink ref="G121" location="Stage!g121" tooltip="Edit Indicator" display="Stage!g121" xr:uid="{1340F0C0-7761-43CC-B027-9B337E22D3F6}"/>
    <hyperlink ref="G132" location="Stage!g132" tooltip="Edit Indicator" display="Stage!g132" xr:uid="{B26C40AB-D9FB-469B-A4AD-2ED4C06848EB}"/>
    <hyperlink ref="G133" location="Stage!g133" tooltip="Edit Indicator" display="Stage!g133" xr:uid="{9846E25F-0023-4C16-A311-23849ACA3F27}"/>
    <hyperlink ref="G134" location="Stage!g134" tooltip="Edit Indicator" display="Stage!g134" xr:uid="{7E82F22C-A2A8-47E1-ADB7-70795E89524F}"/>
    <hyperlink ref="G135" location="Stage!g135" tooltip="Edit Indicator" display="Stage!g135" xr:uid="{47150C6C-3A38-41F1-A90A-302640C1AE8B}"/>
    <hyperlink ref="G136" location="Stage!g136" tooltip="Edit Indicator" display="Stage!g136" xr:uid="{57F73A07-9B2B-4E22-8E0D-3F165220D57B}"/>
    <hyperlink ref="G137" location="Stage!g137" tooltip="Edit Indicator" display="Stage!g137" xr:uid="{C196AF3B-ABB5-4FA6-A0E6-208668041618}"/>
    <hyperlink ref="G138" location="Stage!g138" tooltip="Edit Indicator" display="Stage!g138" xr:uid="{D7B035E5-F3A6-41E9-A382-80EECD623D9D}"/>
    <hyperlink ref="G139" location="Stage!g139" tooltip="Edit Indicator" display="Stage!g139" xr:uid="{865A8788-7C5A-4953-A8CC-AD1D99D95605}"/>
    <hyperlink ref="G140" location="Stage!g140" tooltip="Edit Indicator" display="Stage!g140" xr:uid="{0356A7D5-F7C1-470B-AF3C-0CC87FE4EB32}"/>
    <hyperlink ref="G141" location="Stage!g141" tooltip="Edit Indicator" display="Stage!g141" xr:uid="{56D301A2-6BA0-4A37-9AAC-ABA341CF9095}"/>
    <hyperlink ref="G142" location="Stage!g142" tooltip="Edit Indicator" display="Stage!g142" xr:uid="{274A29E8-A075-4885-A236-8C72EF45E884}"/>
    <hyperlink ref="G143" location="Stage!g143" tooltip="Edit Indicator" display="Stage!g143" xr:uid="{A28A3A11-0BA4-4739-8A69-E0ABFCF2EDCE}"/>
    <hyperlink ref="F34" location="Stage!F34" tooltip="Add your own indicator" display="+ Add Risk Indicator" xr:uid="{396F522C-E943-4C5E-909C-EEB229A48859}"/>
    <hyperlink ref="F56" location="Stage!F56" tooltip="Add your own indicator" display="+ Add Risk Indicator" xr:uid="{DA76D778-5BDD-44E4-B2AD-7682672A9F99}"/>
    <hyperlink ref="F78" location="Stage!F78" tooltip="Add your own indicator" display="+ Add Risk Indicator" xr:uid="{7750E5E4-9987-4538-BA1C-9788436C58F3}"/>
    <hyperlink ref="F100" location="Stage!F100" tooltip="Add your own indicator" display="+ Add Risk Indicator" xr:uid="{29B8E57D-9A26-4DE2-BA44-33EDA139EFF8}"/>
    <hyperlink ref="F122" location="Stage!F122" tooltip="Add your own indicator" display="+ Add Risk Indicator" xr:uid="{14E9598E-A1E8-4AB8-A039-096210EE588B}"/>
    <hyperlink ref="F144" location="Stage!F144" tooltip="Add your own indicator" display="+ Add Risk Indicator" xr:uid="{50826FA6-B8F6-49A8-923F-2BA7631CA5C2}"/>
    <hyperlink ref="C1:D1" location="overall_quality_statement" tooltip="Back" display="⬅ Back To Summary  " xr:uid="{7FCAF90E-A6AF-4377-8EC8-420308A080DB}"/>
    <hyperlink ref="N1:P1" location="Stage!N1" display="❓ Tool Guidance &amp; Glossary" xr:uid="{A6653F77-6217-4F8C-8560-E847CCAF4132}"/>
    <hyperlink ref="O1" location="Glossary!A1" display="❓ Glossary" xr:uid="{B1968C37-3400-0D43-BE47-74049B2169B3}"/>
    <hyperlink ref="N1" r:id="rId1" xr:uid="{3C0E702E-2AC7-E94E-8CC9-9DF128A7CDF3}"/>
  </hyperlinks>
  <pageMargins left="0.25" right="0.25" top="0.75" bottom="0.75" header="0.3" footer="0.3"/>
  <pageSetup paperSize="9" scale="67" orientation="landscape" horizontalDpi="4294967295" verticalDpi="4294967295" r:id="rId2"/>
  <rowBreaks count="1" manualBreakCount="1">
    <brk id="60" max="15" man="1"/>
  </rowBreaks>
  <colBreaks count="1" manualBreakCount="1">
    <brk id="16"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95E9F-4056-1747-884D-9C2291FA3917}">
  <sheetPr codeName="data"/>
  <dimension ref="A1:AF140"/>
  <sheetViews>
    <sheetView topLeftCell="A10" zoomScaleNormal="100" workbookViewId="0">
      <selection activeCell="A10" sqref="A10:A140"/>
    </sheetView>
  </sheetViews>
  <sheetFormatPr baseColWidth="10" defaultColWidth="10.6640625" defaultRowHeight="13" x14ac:dyDescent="0.15"/>
  <cols>
    <col min="1" max="1" width="14.6640625" style="24" bestFit="1" customWidth="1"/>
    <col min="2" max="2" width="14.6640625" style="24" customWidth="1"/>
    <col min="3" max="3" width="10.6640625" style="24"/>
    <col min="4" max="4" width="64.1640625" style="24" bestFit="1" customWidth="1"/>
    <col min="5" max="8" width="10.6640625" style="24"/>
    <col min="9" max="16384" width="10.6640625" style="17"/>
  </cols>
  <sheetData>
    <row r="1" spans="1:32" x14ac:dyDescent="0.15">
      <c r="A1" s="24" t="s">
        <v>143</v>
      </c>
      <c r="C1" s="45">
        <v>0</v>
      </c>
      <c r="E1" s="25"/>
      <c r="F1" s="25"/>
      <c r="G1" s="25"/>
      <c r="H1" s="25"/>
      <c r="I1" s="32" t="s">
        <v>145</v>
      </c>
      <c r="J1" s="33" t="s">
        <v>158</v>
      </c>
      <c r="K1" s="34" t="s">
        <v>146</v>
      </c>
      <c r="L1" s="34" t="s">
        <v>147</v>
      </c>
      <c r="M1" s="34" t="s">
        <v>148</v>
      </c>
      <c r="N1" s="34" t="s">
        <v>149</v>
      </c>
      <c r="O1" s="34" t="s">
        <v>159</v>
      </c>
      <c r="P1" s="35" t="s">
        <v>150</v>
      </c>
      <c r="Q1" s="18"/>
      <c r="R1" s="18"/>
    </row>
    <row r="2" spans="1:32" x14ac:dyDescent="0.15">
      <c r="A2" s="24" t="s">
        <v>144</v>
      </c>
      <c r="C2" s="46">
        <v>0</v>
      </c>
      <c r="I2" s="645" t="s">
        <v>242</v>
      </c>
      <c r="J2" s="645"/>
      <c r="K2" s="645"/>
      <c r="L2" s="645"/>
      <c r="M2" s="645"/>
      <c r="N2" s="645"/>
      <c r="O2" s="645"/>
      <c r="P2" s="645"/>
      <c r="Q2" s="645" t="s">
        <v>241</v>
      </c>
      <c r="R2" s="645"/>
      <c r="S2" s="645"/>
      <c r="T2" s="645"/>
      <c r="U2" s="645"/>
      <c r="V2" s="645"/>
      <c r="W2" s="645"/>
      <c r="X2" s="645"/>
    </row>
    <row r="3" spans="1:32" ht="16" x14ac:dyDescent="0.2">
      <c r="A3" s="47"/>
      <c r="B3" s="47"/>
      <c r="C3" s="26"/>
      <c r="D3" s="26"/>
      <c r="E3" s="26"/>
      <c r="F3" s="19"/>
      <c r="G3" s="19"/>
      <c r="H3" s="47" t="s">
        <v>154</v>
      </c>
      <c r="I3" s="36"/>
      <c r="J3" s="37"/>
      <c r="K3" s="37"/>
      <c r="L3" s="37"/>
      <c r="M3" s="37"/>
      <c r="N3" s="37"/>
      <c r="O3" s="37"/>
      <c r="P3" s="38"/>
    </row>
    <row r="4" spans="1:32" ht="16" x14ac:dyDescent="0.2">
      <c r="A4" s="47"/>
      <c r="B4" s="47"/>
      <c r="C4" s="26"/>
      <c r="D4" s="26"/>
      <c r="E4" s="26"/>
      <c r="F4" s="19"/>
      <c r="G4" s="19"/>
      <c r="H4" s="47" t="s">
        <v>237</v>
      </c>
      <c r="I4" s="39"/>
      <c r="J4" s="40"/>
      <c r="K4" s="40"/>
      <c r="L4" s="40"/>
      <c r="M4" s="40"/>
      <c r="N4" s="40"/>
      <c r="O4" s="40"/>
      <c r="P4" s="41"/>
    </row>
    <row r="5" spans="1:32" ht="16" x14ac:dyDescent="0.2">
      <c r="A5" s="47"/>
      <c r="B5" s="47"/>
      <c r="C5" s="26"/>
      <c r="D5" s="26"/>
      <c r="E5" s="26"/>
      <c r="F5" s="19"/>
      <c r="G5" s="19"/>
      <c r="H5" s="47" t="s">
        <v>155</v>
      </c>
      <c r="I5" s="39"/>
      <c r="J5" s="40"/>
      <c r="K5" s="40"/>
      <c r="L5" s="40"/>
      <c r="M5" s="40"/>
      <c r="N5" s="40"/>
      <c r="O5" s="40"/>
      <c r="P5" s="41"/>
      <c r="Q5" s="36"/>
      <c r="R5" s="37"/>
      <c r="S5" s="37"/>
      <c r="T5" s="37"/>
      <c r="U5" s="37"/>
      <c r="V5" s="37"/>
      <c r="W5" s="37"/>
      <c r="X5" s="38"/>
    </row>
    <row r="6" spans="1:32" ht="16" x14ac:dyDescent="0.2">
      <c r="A6" s="47"/>
      <c r="B6" s="47"/>
      <c r="C6" s="26"/>
      <c r="D6" s="26"/>
      <c r="E6" s="26"/>
      <c r="F6" s="19"/>
      <c r="G6" s="19"/>
      <c r="H6" s="47" t="s">
        <v>240</v>
      </c>
      <c r="I6" s="39"/>
      <c r="J6" s="40"/>
      <c r="K6" s="40"/>
      <c r="L6" s="40"/>
      <c r="M6" s="40"/>
      <c r="N6" s="40"/>
      <c r="O6" s="40"/>
      <c r="P6" s="41"/>
      <c r="Q6" s="39"/>
      <c r="R6" s="40"/>
      <c r="S6" s="40"/>
      <c r="T6" s="40"/>
      <c r="U6" s="40"/>
      <c r="V6" s="40"/>
      <c r="W6" s="40"/>
      <c r="X6" s="41"/>
    </row>
    <row r="7" spans="1:32" ht="16" x14ac:dyDescent="0.2">
      <c r="A7" s="47"/>
      <c r="B7" s="47"/>
      <c r="C7" s="26"/>
      <c r="D7" s="26"/>
      <c r="E7" s="26"/>
      <c r="F7" s="19"/>
      <c r="G7" s="19"/>
      <c r="H7" s="47" t="s">
        <v>156</v>
      </c>
      <c r="I7" s="39"/>
      <c r="J7" s="40"/>
      <c r="K7" s="40"/>
      <c r="L7" s="40"/>
      <c r="M7" s="40"/>
      <c r="N7" s="40"/>
      <c r="O7" s="40"/>
      <c r="P7" s="41"/>
      <c r="Q7" s="39"/>
      <c r="R7" s="40"/>
      <c r="S7" s="40"/>
      <c r="T7" s="40"/>
      <c r="U7" s="40"/>
      <c r="V7" s="40"/>
      <c r="W7" s="40"/>
      <c r="X7" s="41"/>
    </row>
    <row r="8" spans="1:32" ht="16" x14ac:dyDescent="0.2">
      <c r="A8" s="47">
        <f>COUNTIF(show,TRUE)-6</f>
        <v>61</v>
      </c>
      <c r="B8" s="47"/>
      <c r="C8" s="26"/>
      <c r="D8" s="26"/>
      <c r="E8" s="26"/>
      <c r="F8" s="19"/>
      <c r="G8" s="19"/>
      <c r="H8" s="47" t="s">
        <v>157</v>
      </c>
      <c r="I8" s="42"/>
      <c r="J8" s="43"/>
      <c r="K8" s="43"/>
      <c r="L8" s="43"/>
      <c r="M8" s="43"/>
      <c r="N8" s="43"/>
      <c r="O8" s="43"/>
      <c r="P8" s="44"/>
      <c r="Q8" s="42"/>
      <c r="R8" s="43"/>
      <c r="S8" s="43"/>
      <c r="T8" s="43"/>
      <c r="U8" s="43"/>
      <c r="V8" s="43"/>
      <c r="W8" s="43"/>
      <c r="X8" s="44"/>
    </row>
    <row r="9" spans="1:32" s="321" customFormat="1" x14ac:dyDescent="0.15">
      <c r="A9" s="317" t="s">
        <v>201</v>
      </c>
      <c r="B9" s="317" t="s">
        <v>202</v>
      </c>
      <c r="C9" s="317"/>
      <c r="D9" s="317"/>
      <c r="E9" s="318" t="s">
        <v>137</v>
      </c>
      <c r="F9" s="319" t="s">
        <v>151</v>
      </c>
      <c r="G9" s="319" t="s">
        <v>138</v>
      </c>
      <c r="H9" s="320" t="s">
        <v>139</v>
      </c>
      <c r="I9" s="531">
        <f t="shared" ref="I9:P9" si="0">COUNTIFS(show,TRUE,I10:I140,"&gt;0")</f>
        <v>26</v>
      </c>
      <c r="J9" s="531">
        <f t="shared" si="0"/>
        <v>18</v>
      </c>
      <c r="K9" s="531">
        <f t="shared" si="0"/>
        <v>14</v>
      </c>
      <c r="L9" s="531">
        <f t="shared" si="0"/>
        <v>8</v>
      </c>
      <c r="M9" s="531">
        <f t="shared" si="0"/>
        <v>12</v>
      </c>
      <c r="N9" s="531">
        <f t="shared" si="0"/>
        <v>20</v>
      </c>
      <c r="O9" s="531">
        <f t="shared" si="0"/>
        <v>36</v>
      </c>
      <c r="P9" s="531">
        <f t="shared" si="0"/>
        <v>49</v>
      </c>
      <c r="Q9" s="644" t="s">
        <v>142</v>
      </c>
      <c r="R9" s="644"/>
      <c r="S9" s="644"/>
      <c r="T9" s="644"/>
      <c r="U9" s="644"/>
      <c r="V9" s="644"/>
      <c r="W9" s="644"/>
      <c r="X9" s="644"/>
      <c r="Y9" s="644" t="s">
        <v>214</v>
      </c>
      <c r="Z9" s="644"/>
      <c r="AA9" s="644"/>
      <c r="AB9" s="644"/>
      <c r="AC9" s="644"/>
      <c r="AD9" s="644"/>
      <c r="AE9" s="644"/>
      <c r="AF9" s="644"/>
    </row>
    <row r="10" spans="1:32" ht="14" x14ac:dyDescent="0.15">
      <c r="A10" s="45" t="b">
        <v>1</v>
      </c>
      <c r="B10" s="45" t="b">
        <v>1</v>
      </c>
      <c r="C10" s="27" t="s">
        <v>0</v>
      </c>
      <c r="D10" s="28" t="s">
        <v>1</v>
      </c>
      <c r="E10" s="49" t="s">
        <v>137</v>
      </c>
      <c r="F10" s="29" t="s">
        <v>151</v>
      </c>
      <c r="G10" s="29" t="s">
        <v>138</v>
      </c>
      <c r="H10" s="30" t="s">
        <v>139</v>
      </c>
      <c r="I10" s="37"/>
      <c r="J10" s="37"/>
      <c r="K10" s="37"/>
      <c r="L10" s="37"/>
      <c r="M10" s="37"/>
      <c r="N10" s="37">
        <v>4</v>
      </c>
      <c r="O10" s="37">
        <v>4</v>
      </c>
      <c r="P10" s="37">
        <v>4</v>
      </c>
      <c r="Q10" s="36"/>
      <c r="R10" s="37"/>
      <c r="S10" s="37"/>
      <c r="T10" s="37"/>
      <c r="U10" s="37"/>
      <c r="V10" s="37"/>
      <c r="W10" s="37"/>
      <c r="X10" s="38"/>
      <c r="Y10" s="36" t="b">
        <v>1</v>
      </c>
      <c r="Z10" s="37" t="b">
        <v>1</v>
      </c>
      <c r="AA10" s="37" t="b">
        <v>1</v>
      </c>
      <c r="AB10" s="37" t="b">
        <v>1</v>
      </c>
      <c r="AC10" s="37" t="b">
        <v>1</v>
      </c>
      <c r="AD10" s="37" t="b">
        <v>0</v>
      </c>
      <c r="AE10" s="37" t="b">
        <v>0</v>
      </c>
      <c r="AF10" s="38" t="b">
        <v>0</v>
      </c>
    </row>
    <row r="11" spans="1:32" x14ac:dyDescent="0.15">
      <c r="A11" s="51" t="b">
        <v>1</v>
      </c>
      <c r="B11" s="51" t="b">
        <v>1</v>
      </c>
      <c r="C11" s="20" t="s">
        <v>2</v>
      </c>
      <c r="D11" s="21" t="s">
        <v>3</v>
      </c>
      <c r="E11" s="50" t="s">
        <v>137</v>
      </c>
      <c r="F11" s="19" t="s">
        <v>151</v>
      </c>
      <c r="G11" s="19" t="s">
        <v>138</v>
      </c>
      <c r="H11" s="31" t="s">
        <v>139</v>
      </c>
      <c r="I11" s="40"/>
      <c r="J11" s="40"/>
      <c r="K11" s="40"/>
      <c r="L11" s="40"/>
      <c r="M11" s="40"/>
      <c r="N11" s="40">
        <v>4</v>
      </c>
      <c r="O11" s="40">
        <v>4</v>
      </c>
      <c r="P11" s="40">
        <v>4</v>
      </c>
      <c r="Q11" s="39"/>
      <c r="R11" s="40"/>
      <c r="S11" s="40"/>
      <c r="T11" s="40"/>
      <c r="U11" s="40"/>
      <c r="V11" s="40"/>
      <c r="W11" s="40"/>
      <c r="X11" s="41"/>
      <c r="Y11" s="39" t="b">
        <v>1</v>
      </c>
      <c r="Z11" s="40" t="b">
        <v>1</v>
      </c>
      <c r="AA11" s="40" t="b">
        <v>1</v>
      </c>
      <c r="AB11" s="40" t="b">
        <v>1</v>
      </c>
      <c r="AC11" s="40" t="b">
        <v>1</v>
      </c>
      <c r="AD11" s="40" t="b">
        <v>0</v>
      </c>
      <c r="AE11" s="40" t="b">
        <v>0</v>
      </c>
      <c r="AF11" s="41" t="b">
        <v>0</v>
      </c>
    </row>
    <row r="12" spans="1:32" x14ac:dyDescent="0.15">
      <c r="A12" s="51" t="b">
        <v>1</v>
      </c>
      <c r="B12" s="51" t="b">
        <v>1</v>
      </c>
      <c r="C12" s="20" t="s">
        <v>4</v>
      </c>
      <c r="D12" s="21" t="s">
        <v>5</v>
      </c>
      <c r="E12" s="50" t="s">
        <v>137</v>
      </c>
      <c r="F12" s="19" t="s">
        <v>151</v>
      </c>
      <c r="G12" s="19" t="s">
        <v>138</v>
      </c>
      <c r="H12" s="31" t="s">
        <v>139</v>
      </c>
      <c r="I12" s="40"/>
      <c r="J12" s="40"/>
      <c r="K12" s="40"/>
      <c r="L12" s="40"/>
      <c r="M12" s="40"/>
      <c r="N12" s="40"/>
      <c r="O12" s="40"/>
      <c r="P12" s="40"/>
      <c r="Q12" s="39"/>
      <c r="R12" s="40"/>
      <c r="S12" s="40"/>
      <c r="T12" s="40"/>
      <c r="U12" s="40"/>
      <c r="V12" s="40"/>
      <c r="W12" s="40"/>
      <c r="X12" s="41"/>
      <c r="Y12" s="39" t="b">
        <v>1</v>
      </c>
      <c r="Z12" s="40" t="b">
        <v>1</v>
      </c>
      <c r="AA12" s="40" t="b">
        <v>1</v>
      </c>
      <c r="AB12" s="40" t="b">
        <v>1</v>
      </c>
      <c r="AC12" s="40" t="b">
        <v>1</v>
      </c>
      <c r="AD12" s="40" t="b">
        <v>1</v>
      </c>
      <c r="AE12" s="40" t="b">
        <v>1</v>
      </c>
      <c r="AF12" s="41" t="b">
        <v>1</v>
      </c>
    </row>
    <row r="13" spans="1:32" x14ac:dyDescent="0.15">
      <c r="A13" s="51" t="b">
        <v>1</v>
      </c>
      <c r="B13" s="51" t="b">
        <v>1</v>
      </c>
      <c r="C13" s="20" t="s">
        <v>6</v>
      </c>
      <c r="D13" s="21" t="s">
        <v>7</v>
      </c>
      <c r="E13" s="50" t="s">
        <v>137</v>
      </c>
      <c r="F13" s="19" t="s">
        <v>151</v>
      </c>
      <c r="G13" s="19" t="s">
        <v>138</v>
      </c>
      <c r="H13" s="31" t="s">
        <v>139</v>
      </c>
      <c r="I13" s="40"/>
      <c r="J13" s="40"/>
      <c r="K13" s="40"/>
      <c r="L13" s="40"/>
      <c r="M13" s="40">
        <v>4</v>
      </c>
      <c r="N13" s="40">
        <v>4</v>
      </c>
      <c r="O13" s="40">
        <v>4</v>
      </c>
      <c r="P13" s="40">
        <v>4</v>
      </c>
      <c r="Q13" s="39"/>
      <c r="R13" s="40"/>
      <c r="S13" s="40"/>
      <c r="T13" s="40"/>
      <c r="U13" s="40"/>
      <c r="V13" s="40"/>
      <c r="W13" s="40"/>
      <c r="X13" s="41"/>
      <c r="Y13" s="39" t="b">
        <v>1</v>
      </c>
      <c r="Z13" s="40" t="b">
        <v>1</v>
      </c>
      <c r="AA13" s="40" t="b">
        <v>1</v>
      </c>
      <c r="AB13" s="40" t="b">
        <v>1</v>
      </c>
      <c r="AC13" s="40" t="b">
        <v>0</v>
      </c>
      <c r="AD13" s="40" t="b">
        <v>0</v>
      </c>
      <c r="AE13" s="40" t="b">
        <v>0</v>
      </c>
      <c r="AF13" s="41" t="b">
        <v>0</v>
      </c>
    </row>
    <row r="14" spans="1:32" x14ac:dyDescent="0.15">
      <c r="A14" s="51" t="b">
        <v>1</v>
      </c>
      <c r="B14" s="51" t="b">
        <v>1</v>
      </c>
      <c r="C14" s="20" t="s">
        <v>8</v>
      </c>
      <c r="D14" s="21" t="s">
        <v>9</v>
      </c>
      <c r="E14" s="50" t="s">
        <v>137</v>
      </c>
      <c r="F14" s="19" t="s">
        <v>151</v>
      </c>
      <c r="G14" s="19" t="s">
        <v>138</v>
      </c>
      <c r="H14" s="31" t="s">
        <v>139</v>
      </c>
      <c r="I14" s="40"/>
      <c r="J14" s="40"/>
      <c r="K14" s="40"/>
      <c r="L14" s="40"/>
      <c r="M14" s="40"/>
      <c r="N14" s="40"/>
      <c r="O14" s="40">
        <v>4</v>
      </c>
      <c r="P14" s="40">
        <v>4</v>
      </c>
      <c r="Q14" s="39"/>
      <c r="R14" s="40"/>
      <c r="S14" s="40"/>
      <c r="T14" s="40"/>
      <c r="U14" s="40"/>
      <c r="V14" s="40"/>
      <c r="W14" s="40"/>
      <c r="X14" s="41"/>
      <c r="Y14" s="39" t="b">
        <v>1</v>
      </c>
      <c r="Z14" s="40" t="b">
        <v>1</v>
      </c>
      <c r="AA14" s="40" t="b">
        <v>1</v>
      </c>
      <c r="AB14" s="40" t="b">
        <v>1</v>
      </c>
      <c r="AC14" s="40" t="b">
        <v>1</v>
      </c>
      <c r="AD14" s="40" t="b">
        <v>1</v>
      </c>
      <c r="AE14" s="40" t="b">
        <v>0</v>
      </c>
      <c r="AF14" s="41" t="b">
        <v>0</v>
      </c>
    </row>
    <row r="15" spans="1:32" x14ac:dyDescent="0.15">
      <c r="A15" s="51" t="b">
        <v>1</v>
      </c>
      <c r="B15" s="51" t="b">
        <v>1</v>
      </c>
      <c r="C15" s="20" t="s">
        <v>10</v>
      </c>
      <c r="D15" s="21" t="s">
        <v>11</v>
      </c>
      <c r="E15" s="50" t="s">
        <v>137</v>
      </c>
      <c r="F15" s="19" t="s">
        <v>151</v>
      </c>
      <c r="G15" s="19" t="s">
        <v>138</v>
      </c>
      <c r="H15" s="31" t="s">
        <v>139</v>
      </c>
      <c r="I15" s="40"/>
      <c r="J15" s="40"/>
      <c r="K15" s="40"/>
      <c r="L15" s="40"/>
      <c r="M15" s="40"/>
      <c r="N15" s="40"/>
      <c r="O15" s="40">
        <v>4</v>
      </c>
      <c r="P15" s="40">
        <v>4</v>
      </c>
      <c r="Q15" s="39"/>
      <c r="R15" s="40"/>
      <c r="S15" s="40"/>
      <c r="T15" s="40"/>
      <c r="U15" s="40"/>
      <c r="V15" s="40"/>
      <c r="W15" s="40"/>
      <c r="X15" s="41"/>
      <c r="Y15" s="39" t="b">
        <v>1</v>
      </c>
      <c r="Z15" s="40" t="b">
        <v>1</v>
      </c>
      <c r="AA15" s="40" t="b">
        <v>1</v>
      </c>
      <c r="AB15" s="40" t="b">
        <v>1</v>
      </c>
      <c r="AC15" s="40" t="b">
        <v>1</v>
      </c>
      <c r="AD15" s="40" t="b">
        <v>1</v>
      </c>
      <c r="AE15" s="40" t="b">
        <v>0</v>
      </c>
      <c r="AF15" s="41" t="b">
        <v>0</v>
      </c>
    </row>
    <row r="16" spans="1:32" x14ac:dyDescent="0.15">
      <c r="A16" s="51" t="b">
        <v>1</v>
      </c>
      <c r="B16" s="51" t="b">
        <v>1</v>
      </c>
      <c r="C16" s="20" t="s">
        <v>12</v>
      </c>
      <c r="D16" s="21" t="s">
        <v>13</v>
      </c>
      <c r="E16" s="50" t="s">
        <v>137</v>
      </c>
      <c r="F16" s="19" t="s">
        <v>151</v>
      </c>
      <c r="G16" s="19" t="s">
        <v>138</v>
      </c>
      <c r="H16" s="31" t="s">
        <v>139</v>
      </c>
      <c r="I16" s="40"/>
      <c r="J16" s="40"/>
      <c r="K16" s="40"/>
      <c r="L16" s="40">
        <v>4</v>
      </c>
      <c r="M16" s="40">
        <v>4</v>
      </c>
      <c r="N16" s="40">
        <v>4</v>
      </c>
      <c r="O16" s="40">
        <v>4</v>
      </c>
      <c r="P16" s="40">
        <v>4</v>
      </c>
      <c r="Q16" s="39"/>
      <c r="R16" s="40"/>
      <c r="S16" s="40"/>
      <c r="T16" s="40"/>
      <c r="U16" s="40"/>
      <c r="V16" s="40"/>
      <c r="W16" s="40"/>
      <c r="X16" s="41"/>
      <c r="Y16" s="39" t="b">
        <v>1</v>
      </c>
      <c r="Z16" s="40" t="b">
        <v>1</v>
      </c>
      <c r="AA16" s="40" t="b">
        <v>1</v>
      </c>
      <c r="AB16" s="40" t="b">
        <v>0</v>
      </c>
      <c r="AC16" s="40" t="b">
        <v>0</v>
      </c>
      <c r="AD16" s="40" t="b">
        <v>0</v>
      </c>
      <c r="AE16" s="40" t="b">
        <v>0</v>
      </c>
      <c r="AF16" s="41" t="b">
        <v>0</v>
      </c>
    </row>
    <row r="17" spans="1:32" x14ac:dyDescent="0.15">
      <c r="A17" s="51" t="b">
        <v>1</v>
      </c>
      <c r="B17" s="51" t="b">
        <v>1</v>
      </c>
      <c r="C17" s="20" t="s">
        <v>14</v>
      </c>
      <c r="D17" s="21" t="s">
        <v>219</v>
      </c>
      <c r="E17" s="50" t="s">
        <v>137</v>
      </c>
      <c r="F17" s="19" t="s">
        <v>151</v>
      </c>
      <c r="G17" s="19" t="s">
        <v>138</v>
      </c>
      <c r="H17" s="31" t="s">
        <v>139</v>
      </c>
      <c r="I17" s="40"/>
      <c r="J17" s="40"/>
      <c r="K17" s="40"/>
      <c r="L17" s="40"/>
      <c r="M17" s="40">
        <v>4</v>
      </c>
      <c r="N17" s="40">
        <v>4</v>
      </c>
      <c r="O17" s="40">
        <v>4</v>
      </c>
      <c r="P17" s="40">
        <v>4</v>
      </c>
      <c r="Q17" s="39"/>
      <c r="R17" s="40"/>
      <c r="S17" s="40"/>
      <c r="T17" s="40"/>
      <c r="U17" s="40"/>
      <c r="V17" s="40"/>
      <c r="W17" s="40"/>
      <c r="X17" s="41"/>
      <c r="Y17" s="39" t="b">
        <v>1</v>
      </c>
      <c r="Z17" s="40" t="b">
        <v>1</v>
      </c>
      <c r="AA17" s="40" t="b">
        <v>1</v>
      </c>
      <c r="AB17" s="40" t="b">
        <v>1</v>
      </c>
      <c r="AC17" s="40" t="b">
        <v>0</v>
      </c>
      <c r="AD17" s="40" t="b">
        <v>0</v>
      </c>
      <c r="AE17" s="40" t="b">
        <v>0</v>
      </c>
      <c r="AF17" s="41" t="b">
        <v>0</v>
      </c>
    </row>
    <row r="18" spans="1:32" x14ac:dyDescent="0.15">
      <c r="A18" s="51" t="b">
        <v>1</v>
      </c>
      <c r="B18" s="51" t="b">
        <v>1</v>
      </c>
      <c r="C18" s="20" t="s">
        <v>15</v>
      </c>
      <c r="D18" s="21" t="s">
        <v>16</v>
      </c>
      <c r="E18" s="50" t="s">
        <v>223</v>
      </c>
      <c r="F18" s="19" t="s">
        <v>221</v>
      </c>
      <c r="G18" s="19" t="s">
        <v>222</v>
      </c>
      <c r="H18" s="31" t="s">
        <v>139</v>
      </c>
      <c r="I18" s="40"/>
      <c r="J18" s="40"/>
      <c r="K18" s="40"/>
      <c r="L18" s="40"/>
      <c r="M18" s="40">
        <v>4</v>
      </c>
      <c r="N18" s="40">
        <v>4</v>
      </c>
      <c r="O18" s="40">
        <v>4</v>
      </c>
      <c r="P18" s="40">
        <v>4</v>
      </c>
      <c r="Q18" s="39"/>
      <c r="R18" s="40"/>
      <c r="S18" s="40"/>
      <c r="T18" s="40"/>
      <c r="U18" s="40"/>
      <c r="V18" s="40"/>
      <c r="W18" s="40"/>
      <c r="X18" s="41"/>
      <c r="Y18" s="39" t="b">
        <v>1</v>
      </c>
      <c r="Z18" s="40" t="b">
        <v>1</v>
      </c>
      <c r="AA18" s="40" t="b">
        <v>1</v>
      </c>
      <c r="AB18" s="40" t="b">
        <v>1</v>
      </c>
      <c r="AC18" s="40" t="b">
        <v>0</v>
      </c>
      <c r="AD18" s="40" t="b">
        <v>0</v>
      </c>
      <c r="AE18" s="40" t="b">
        <v>0</v>
      </c>
      <c r="AF18" s="41" t="b">
        <v>0</v>
      </c>
    </row>
    <row r="19" spans="1:32" x14ac:dyDescent="0.15">
      <c r="A19" s="51" t="b">
        <v>1</v>
      </c>
      <c r="B19" s="51" t="b">
        <v>1</v>
      </c>
      <c r="C19" s="20" t="s">
        <v>17</v>
      </c>
      <c r="D19" s="21" t="s">
        <v>220</v>
      </c>
      <c r="E19" s="50" t="s">
        <v>137</v>
      </c>
      <c r="F19" s="19" t="s">
        <v>151</v>
      </c>
      <c r="G19" s="19" t="s">
        <v>138</v>
      </c>
      <c r="H19" s="31" t="s">
        <v>139</v>
      </c>
      <c r="I19" s="40">
        <v>4</v>
      </c>
      <c r="J19" s="40">
        <v>4</v>
      </c>
      <c r="K19" s="40">
        <v>4</v>
      </c>
      <c r="L19" s="40"/>
      <c r="M19" s="40"/>
      <c r="N19" s="40"/>
      <c r="O19" s="40"/>
      <c r="P19" s="40">
        <v>4</v>
      </c>
      <c r="Q19" s="39"/>
      <c r="R19" s="40"/>
      <c r="S19" s="40"/>
      <c r="T19" s="40"/>
      <c r="U19" s="40"/>
      <c r="V19" s="40"/>
      <c r="W19" s="40"/>
      <c r="X19" s="41"/>
      <c r="Y19" s="39" t="b">
        <v>0</v>
      </c>
      <c r="Z19" s="40" t="b">
        <v>0</v>
      </c>
      <c r="AA19" s="40" t="b">
        <v>0</v>
      </c>
      <c r="AB19" s="40" t="b">
        <v>1</v>
      </c>
      <c r="AC19" s="40" t="b">
        <v>1</v>
      </c>
      <c r="AD19" s="40" t="b">
        <v>1</v>
      </c>
      <c r="AE19" s="40" t="b">
        <v>1</v>
      </c>
      <c r="AF19" s="41" t="b">
        <v>0</v>
      </c>
    </row>
    <row r="20" spans="1:32" x14ac:dyDescent="0.15">
      <c r="A20" s="51" t="b">
        <v>1</v>
      </c>
      <c r="B20" s="51" t="b">
        <v>1</v>
      </c>
      <c r="C20" s="20" t="s">
        <v>18</v>
      </c>
      <c r="D20" s="21" t="s">
        <v>19</v>
      </c>
      <c r="E20" s="50" t="s">
        <v>137</v>
      </c>
      <c r="F20" s="19" t="s">
        <v>151</v>
      </c>
      <c r="G20" s="19" t="s">
        <v>138</v>
      </c>
      <c r="H20" s="31" t="s">
        <v>139</v>
      </c>
      <c r="I20" s="40"/>
      <c r="J20" s="40"/>
      <c r="K20" s="40"/>
      <c r="L20" s="40"/>
      <c r="M20" s="40"/>
      <c r="N20" s="40"/>
      <c r="O20" s="40">
        <v>4</v>
      </c>
      <c r="P20" s="40">
        <v>4</v>
      </c>
      <c r="Q20" s="39"/>
      <c r="R20" s="40"/>
      <c r="S20" s="40"/>
      <c r="T20" s="40"/>
      <c r="U20" s="40"/>
      <c r="V20" s="40"/>
      <c r="W20" s="40"/>
      <c r="X20" s="41"/>
      <c r="Y20" s="39" t="b">
        <v>1</v>
      </c>
      <c r="Z20" s="40" t="b">
        <v>1</v>
      </c>
      <c r="AA20" s="40" t="b">
        <v>1</v>
      </c>
      <c r="AB20" s="40" t="b">
        <v>1</v>
      </c>
      <c r="AC20" s="40" t="b">
        <v>1</v>
      </c>
      <c r="AD20" s="40" t="b">
        <v>1</v>
      </c>
      <c r="AE20" s="40" t="b">
        <v>0</v>
      </c>
      <c r="AF20" s="41" t="b">
        <v>0</v>
      </c>
    </row>
    <row r="21" spans="1:32" x14ac:dyDescent="0.15">
      <c r="A21" s="51" t="b">
        <v>1</v>
      </c>
      <c r="B21" s="51" t="b">
        <v>1</v>
      </c>
      <c r="C21" s="20" t="s">
        <v>20</v>
      </c>
      <c r="D21" s="21" t="s">
        <v>21</v>
      </c>
      <c r="E21" s="50" t="s">
        <v>137</v>
      </c>
      <c r="F21" s="19" t="s">
        <v>151</v>
      </c>
      <c r="G21" s="19" t="s">
        <v>138</v>
      </c>
      <c r="H21" s="31" t="s">
        <v>139</v>
      </c>
      <c r="I21" s="40">
        <v>4</v>
      </c>
      <c r="J21" s="40">
        <v>4</v>
      </c>
      <c r="K21" s="40"/>
      <c r="L21" s="40"/>
      <c r="M21" s="40"/>
      <c r="N21" s="40"/>
      <c r="O21" s="40"/>
      <c r="P21" s="40">
        <v>4</v>
      </c>
      <c r="Q21" s="39"/>
      <c r="R21" s="40"/>
      <c r="S21" s="40"/>
      <c r="T21" s="40"/>
      <c r="U21" s="40"/>
      <c r="V21" s="40"/>
      <c r="W21" s="40"/>
      <c r="X21" s="41"/>
      <c r="Y21" s="39" t="b">
        <v>0</v>
      </c>
      <c r="Z21" s="40" t="b">
        <v>0</v>
      </c>
      <c r="AA21" s="40" t="b">
        <v>1</v>
      </c>
      <c r="AB21" s="40" t="b">
        <v>1</v>
      </c>
      <c r="AC21" s="40" t="b">
        <v>1</v>
      </c>
      <c r="AD21" s="40" t="b">
        <v>1</v>
      </c>
      <c r="AE21" s="40" t="b">
        <v>1</v>
      </c>
      <c r="AF21" s="41" t="b">
        <v>0</v>
      </c>
    </row>
    <row r="22" spans="1:32" x14ac:dyDescent="0.15">
      <c r="A22" s="51" t="b">
        <v>0</v>
      </c>
      <c r="B22" s="51" t="b">
        <v>0</v>
      </c>
      <c r="C22" s="20" t="s">
        <v>126</v>
      </c>
      <c r="D22" s="21"/>
      <c r="E22" s="50" t="s">
        <v>137</v>
      </c>
      <c r="F22" s="19" t="s">
        <v>151</v>
      </c>
      <c r="G22" s="19" t="s">
        <v>138</v>
      </c>
      <c r="H22" s="31" t="s">
        <v>139</v>
      </c>
      <c r="I22" s="40"/>
      <c r="J22" s="40"/>
      <c r="K22" s="40"/>
      <c r="L22" s="40"/>
      <c r="M22" s="40"/>
      <c r="N22" s="40"/>
      <c r="O22" s="40"/>
      <c r="P22" s="40"/>
      <c r="Q22" s="39"/>
      <c r="R22" s="40"/>
      <c r="S22" s="40"/>
      <c r="T22" s="40"/>
      <c r="U22" s="40"/>
      <c r="V22" s="40"/>
      <c r="W22" s="40"/>
      <c r="X22" s="41"/>
      <c r="Y22" s="39" t="b">
        <v>1</v>
      </c>
      <c r="Z22" s="40" t="b">
        <v>1</v>
      </c>
      <c r="AA22" s="40" t="b">
        <v>1</v>
      </c>
      <c r="AB22" s="40" t="b">
        <v>1</v>
      </c>
      <c r="AC22" s="40" t="b">
        <v>1</v>
      </c>
      <c r="AD22" s="40" t="b">
        <v>1</v>
      </c>
      <c r="AE22" s="40" t="b">
        <v>1</v>
      </c>
      <c r="AF22" s="41" t="b">
        <v>1</v>
      </c>
    </row>
    <row r="23" spans="1:32" x14ac:dyDescent="0.15">
      <c r="A23" s="51" t="b">
        <v>0</v>
      </c>
      <c r="B23" s="51" t="b">
        <v>0</v>
      </c>
      <c r="C23" s="20" t="s">
        <v>127</v>
      </c>
      <c r="D23" s="21"/>
      <c r="E23" s="50" t="s">
        <v>137</v>
      </c>
      <c r="F23" s="19" t="s">
        <v>151</v>
      </c>
      <c r="G23" s="19" t="s">
        <v>138</v>
      </c>
      <c r="H23" s="31" t="s">
        <v>139</v>
      </c>
      <c r="I23" s="40"/>
      <c r="J23" s="40"/>
      <c r="K23" s="40"/>
      <c r="L23" s="40"/>
      <c r="M23" s="40"/>
      <c r="N23" s="40"/>
      <c r="O23" s="40"/>
      <c r="P23" s="40"/>
      <c r="Q23" s="39"/>
      <c r="R23" s="40"/>
      <c r="S23" s="40"/>
      <c r="T23" s="40"/>
      <c r="U23" s="40"/>
      <c r="V23" s="40"/>
      <c r="W23" s="40"/>
      <c r="X23" s="41"/>
      <c r="Y23" s="39" t="b">
        <v>1</v>
      </c>
      <c r="Z23" s="40" t="b">
        <v>1</v>
      </c>
      <c r="AA23" s="40" t="b">
        <v>1</v>
      </c>
      <c r="AB23" s="40" t="b">
        <v>1</v>
      </c>
      <c r="AC23" s="40" t="b">
        <v>1</v>
      </c>
      <c r="AD23" s="40" t="b">
        <v>1</v>
      </c>
      <c r="AE23" s="40" t="b">
        <v>1</v>
      </c>
      <c r="AF23" s="41" t="b">
        <v>1</v>
      </c>
    </row>
    <row r="24" spans="1:32" x14ac:dyDescent="0.15">
      <c r="A24" s="51" t="b">
        <v>0</v>
      </c>
      <c r="B24" s="51" t="b">
        <v>0</v>
      </c>
      <c r="C24" s="20" t="s">
        <v>128</v>
      </c>
      <c r="D24" s="21"/>
      <c r="E24" s="50" t="s">
        <v>137</v>
      </c>
      <c r="F24" s="19" t="s">
        <v>151</v>
      </c>
      <c r="G24" s="19" t="s">
        <v>138</v>
      </c>
      <c r="H24" s="31" t="s">
        <v>139</v>
      </c>
      <c r="I24" s="40"/>
      <c r="J24" s="40"/>
      <c r="K24" s="40"/>
      <c r="L24" s="40"/>
      <c r="M24" s="40"/>
      <c r="N24" s="40"/>
      <c r="O24" s="40"/>
      <c r="P24" s="40"/>
      <c r="Q24" s="39"/>
      <c r="R24" s="40"/>
      <c r="S24" s="40"/>
      <c r="T24" s="40"/>
      <c r="U24" s="40"/>
      <c r="V24" s="40"/>
      <c r="W24" s="40"/>
      <c r="X24" s="41"/>
      <c r="Y24" s="39" t="b">
        <v>1</v>
      </c>
      <c r="Z24" s="40" t="b">
        <v>1</v>
      </c>
      <c r="AA24" s="40" t="b">
        <v>1</v>
      </c>
      <c r="AB24" s="40" t="b">
        <v>1</v>
      </c>
      <c r="AC24" s="40" t="b">
        <v>1</v>
      </c>
      <c r="AD24" s="40" t="b">
        <v>1</v>
      </c>
      <c r="AE24" s="40" t="b">
        <v>1</v>
      </c>
      <c r="AF24" s="41" t="b">
        <v>1</v>
      </c>
    </row>
    <row r="25" spans="1:32" x14ac:dyDescent="0.15">
      <c r="A25" s="51" t="b">
        <v>0</v>
      </c>
      <c r="B25" s="51" t="b">
        <v>0</v>
      </c>
      <c r="C25" s="20" t="s">
        <v>129</v>
      </c>
      <c r="D25" s="21"/>
      <c r="E25" s="50" t="s">
        <v>137</v>
      </c>
      <c r="F25" s="19" t="s">
        <v>151</v>
      </c>
      <c r="G25" s="19" t="s">
        <v>138</v>
      </c>
      <c r="H25" s="31" t="s">
        <v>139</v>
      </c>
      <c r="I25" s="40"/>
      <c r="J25" s="40"/>
      <c r="K25" s="40"/>
      <c r="L25" s="40"/>
      <c r="M25" s="40"/>
      <c r="N25" s="40"/>
      <c r="O25" s="40"/>
      <c r="P25" s="40"/>
      <c r="Q25" s="39"/>
      <c r="R25" s="40"/>
      <c r="S25" s="40"/>
      <c r="T25" s="40"/>
      <c r="U25" s="40"/>
      <c r="V25" s="40"/>
      <c r="W25" s="40"/>
      <c r="X25" s="41"/>
      <c r="Y25" s="39" t="b">
        <v>1</v>
      </c>
      <c r="Z25" s="40" t="b">
        <v>1</v>
      </c>
      <c r="AA25" s="40" t="b">
        <v>1</v>
      </c>
      <c r="AB25" s="40" t="b">
        <v>1</v>
      </c>
      <c r="AC25" s="40" t="b">
        <v>1</v>
      </c>
      <c r="AD25" s="40" t="b">
        <v>1</v>
      </c>
      <c r="AE25" s="40" t="b">
        <v>1</v>
      </c>
      <c r="AF25" s="41" t="b">
        <v>1</v>
      </c>
    </row>
    <row r="26" spans="1:32" x14ac:dyDescent="0.15">
      <c r="A26" s="51" t="b">
        <v>0</v>
      </c>
      <c r="B26" s="51" t="b">
        <v>0</v>
      </c>
      <c r="C26" s="20" t="s">
        <v>130</v>
      </c>
      <c r="D26" s="21"/>
      <c r="E26" s="50" t="s">
        <v>137</v>
      </c>
      <c r="F26" s="19" t="s">
        <v>151</v>
      </c>
      <c r="G26" s="19" t="s">
        <v>138</v>
      </c>
      <c r="H26" s="31" t="s">
        <v>139</v>
      </c>
      <c r="I26" s="40"/>
      <c r="J26" s="40"/>
      <c r="K26" s="40"/>
      <c r="L26" s="40"/>
      <c r="M26" s="40"/>
      <c r="N26" s="40"/>
      <c r="O26" s="40"/>
      <c r="P26" s="40"/>
      <c r="Q26" s="39"/>
      <c r="R26" s="40"/>
      <c r="S26" s="40"/>
      <c r="T26" s="40"/>
      <c r="U26" s="40"/>
      <c r="V26" s="40"/>
      <c r="W26" s="40"/>
      <c r="X26" s="41"/>
      <c r="Y26" s="39" t="b">
        <v>1</v>
      </c>
      <c r="Z26" s="40" t="b">
        <v>1</v>
      </c>
      <c r="AA26" s="40" t="b">
        <v>1</v>
      </c>
      <c r="AB26" s="40" t="b">
        <v>1</v>
      </c>
      <c r="AC26" s="40" t="b">
        <v>1</v>
      </c>
      <c r="AD26" s="40" t="b">
        <v>1</v>
      </c>
      <c r="AE26" s="40" t="b">
        <v>1</v>
      </c>
      <c r="AF26" s="41" t="b">
        <v>1</v>
      </c>
    </row>
    <row r="27" spans="1:32" x14ac:dyDescent="0.15">
      <c r="A27" s="51" t="b">
        <v>0</v>
      </c>
      <c r="B27" s="51" t="b">
        <v>0</v>
      </c>
      <c r="C27" s="20" t="s">
        <v>131</v>
      </c>
      <c r="D27" s="21"/>
      <c r="E27" s="50" t="s">
        <v>137</v>
      </c>
      <c r="F27" s="19" t="s">
        <v>151</v>
      </c>
      <c r="G27" s="19" t="s">
        <v>138</v>
      </c>
      <c r="H27" s="31" t="s">
        <v>139</v>
      </c>
      <c r="I27" s="40"/>
      <c r="J27" s="40"/>
      <c r="K27" s="40"/>
      <c r="L27" s="40"/>
      <c r="M27" s="40"/>
      <c r="N27" s="40"/>
      <c r="O27" s="40"/>
      <c r="P27" s="40"/>
      <c r="Q27" s="39"/>
      <c r="R27" s="40"/>
      <c r="S27" s="40"/>
      <c r="T27" s="40"/>
      <c r="U27" s="40"/>
      <c r="V27" s="40"/>
      <c r="W27" s="40"/>
      <c r="X27" s="41"/>
      <c r="Y27" s="39" t="b">
        <v>1</v>
      </c>
      <c r="Z27" s="40" t="b">
        <v>1</v>
      </c>
      <c r="AA27" s="40" t="b">
        <v>1</v>
      </c>
      <c r="AB27" s="40" t="b">
        <v>1</v>
      </c>
      <c r="AC27" s="40" t="b">
        <v>1</v>
      </c>
      <c r="AD27" s="40" t="b">
        <v>1</v>
      </c>
      <c r="AE27" s="40" t="b">
        <v>1</v>
      </c>
      <c r="AF27" s="41" t="b">
        <v>1</v>
      </c>
    </row>
    <row r="28" spans="1:32" x14ac:dyDescent="0.15">
      <c r="A28" s="51" t="b">
        <v>0</v>
      </c>
      <c r="B28" s="51" t="b">
        <v>0</v>
      </c>
      <c r="C28" s="20" t="s">
        <v>132</v>
      </c>
      <c r="D28" s="21"/>
      <c r="E28" s="50" t="s">
        <v>137</v>
      </c>
      <c r="F28" s="19" t="s">
        <v>151</v>
      </c>
      <c r="G28" s="19" t="s">
        <v>138</v>
      </c>
      <c r="H28" s="31" t="s">
        <v>139</v>
      </c>
      <c r="I28" s="40"/>
      <c r="J28" s="40"/>
      <c r="K28" s="40"/>
      <c r="L28" s="40"/>
      <c r="M28" s="40"/>
      <c r="N28" s="40"/>
      <c r="O28" s="40"/>
      <c r="P28" s="40"/>
      <c r="Q28" s="39"/>
      <c r="R28" s="40"/>
      <c r="S28" s="40"/>
      <c r="T28" s="40"/>
      <c r="U28" s="40"/>
      <c r="V28" s="40"/>
      <c r="W28" s="40"/>
      <c r="X28" s="41"/>
      <c r="Y28" s="39" t="b">
        <v>1</v>
      </c>
      <c r="Z28" s="40" t="b">
        <v>1</v>
      </c>
      <c r="AA28" s="40" t="b">
        <v>1</v>
      </c>
      <c r="AB28" s="40" t="b">
        <v>1</v>
      </c>
      <c r="AC28" s="40" t="b">
        <v>1</v>
      </c>
      <c r="AD28" s="40" t="b">
        <v>1</v>
      </c>
      <c r="AE28" s="40" t="b">
        <v>1</v>
      </c>
      <c r="AF28" s="41" t="b">
        <v>1</v>
      </c>
    </row>
    <row r="29" spans="1:32" x14ac:dyDescent="0.15">
      <c r="A29" s="51" t="b">
        <v>0</v>
      </c>
      <c r="B29" s="51" t="b">
        <v>0</v>
      </c>
      <c r="C29" s="20" t="s">
        <v>133</v>
      </c>
      <c r="D29" s="21"/>
      <c r="E29" s="50" t="s">
        <v>137</v>
      </c>
      <c r="F29" s="19" t="s">
        <v>151</v>
      </c>
      <c r="G29" s="19" t="s">
        <v>138</v>
      </c>
      <c r="H29" s="31" t="s">
        <v>139</v>
      </c>
      <c r="I29" s="40"/>
      <c r="J29" s="40"/>
      <c r="K29" s="40"/>
      <c r="L29" s="40"/>
      <c r="M29" s="40"/>
      <c r="N29" s="40"/>
      <c r="O29" s="40"/>
      <c r="P29" s="40"/>
      <c r="Q29" s="39"/>
      <c r="R29" s="40"/>
      <c r="S29" s="40"/>
      <c r="T29" s="40"/>
      <c r="U29" s="40"/>
      <c r="V29" s="40"/>
      <c r="W29" s="40"/>
      <c r="X29" s="41"/>
      <c r="Y29" s="39" t="b">
        <v>1</v>
      </c>
      <c r="Z29" s="40" t="b">
        <v>1</v>
      </c>
      <c r="AA29" s="40" t="b">
        <v>1</v>
      </c>
      <c r="AB29" s="40" t="b">
        <v>1</v>
      </c>
      <c r="AC29" s="40" t="b">
        <v>1</v>
      </c>
      <c r="AD29" s="40" t="b">
        <v>1</v>
      </c>
      <c r="AE29" s="40" t="b">
        <v>1</v>
      </c>
      <c r="AF29" s="41" t="b">
        <v>1</v>
      </c>
    </row>
    <row r="30" spans="1:32" s="299" customFormat="1" x14ac:dyDescent="0.15">
      <c r="A30" s="303" t="b">
        <f>IF(COUNTIFS(A10:A29,FALSE)=0,FALSE,TRUE)</f>
        <v>1</v>
      </c>
      <c r="B30" s="303" t="b">
        <f>IF(COUNTIFS(B10:B29,FALSE)=0,FALSE,TRUE)</f>
        <v>1</v>
      </c>
      <c r="C30" s="304"/>
      <c r="D30" s="305" t="s">
        <v>153</v>
      </c>
      <c r="E30" s="315"/>
      <c r="F30" s="305"/>
      <c r="G30" s="305"/>
      <c r="H30" s="316"/>
      <c r="I30" s="307"/>
      <c r="J30" s="307"/>
      <c r="K30" s="307"/>
      <c r="L30" s="307"/>
      <c r="M30" s="307"/>
      <c r="N30" s="307"/>
      <c r="O30" s="307"/>
      <c r="P30" s="307"/>
      <c r="Q30" s="306"/>
      <c r="R30" s="307"/>
      <c r="S30" s="307"/>
      <c r="T30" s="307"/>
      <c r="U30" s="307"/>
      <c r="V30" s="307"/>
      <c r="W30" s="307"/>
      <c r="X30" s="308"/>
      <c r="Y30" s="306" t="b">
        <v>1</v>
      </c>
      <c r="Z30" s="307" t="b">
        <v>1</v>
      </c>
      <c r="AA30" s="307" t="b">
        <v>1</v>
      </c>
      <c r="AB30" s="307" t="b">
        <v>1</v>
      </c>
      <c r="AC30" s="307" t="b">
        <v>1</v>
      </c>
      <c r="AD30" s="307" t="b">
        <v>1</v>
      </c>
      <c r="AE30" s="307" t="b">
        <v>1</v>
      </c>
      <c r="AF30" s="308" t="b">
        <v>1</v>
      </c>
    </row>
    <row r="31" spans="1:32" s="321" customFormat="1" x14ac:dyDescent="0.15">
      <c r="A31" s="322"/>
      <c r="B31" s="322"/>
      <c r="C31" s="323"/>
      <c r="D31" s="324"/>
      <c r="E31" s="325"/>
      <c r="F31" s="324"/>
      <c r="G31" s="324"/>
      <c r="H31" s="326"/>
      <c r="I31" s="317"/>
      <c r="J31" s="317"/>
      <c r="K31" s="317"/>
      <c r="L31" s="317"/>
      <c r="M31" s="317"/>
      <c r="N31" s="317"/>
      <c r="O31" s="317"/>
      <c r="P31" s="317"/>
      <c r="Q31" s="327"/>
      <c r="R31" s="317"/>
      <c r="S31" s="317"/>
      <c r="T31" s="317"/>
      <c r="U31" s="317"/>
      <c r="V31" s="317"/>
      <c r="W31" s="317"/>
      <c r="X31" s="328"/>
      <c r="Y31" s="327" t="b">
        <v>1</v>
      </c>
      <c r="Z31" s="317" t="b">
        <v>1</v>
      </c>
      <c r="AA31" s="317" t="b">
        <v>1</v>
      </c>
      <c r="AB31" s="317" t="b">
        <v>1</v>
      </c>
      <c r="AC31" s="317" t="b">
        <v>1</v>
      </c>
      <c r="AD31" s="317" t="b">
        <v>1</v>
      </c>
      <c r="AE31" s="317" t="b">
        <v>1</v>
      </c>
      <c r="AF31" s="328" t="b">
        <v>1</v>
      </c>
    </row>
    <row r="32" spans="1:32" x14ac:dyDescent="0.15">
      <c r="A32" s="45" t="b">
        <v>1</v>
      </c>
      <c r="B32" s="45" t="b">
        <v>1</v>
      </c>
      <c r="C32" s="27" t="s">
        <v>22</v>
      </c>
      <c r="D32" s="48" t="s">
        <v>23</v>
      </c>
      <c r="E32" s="49" t="s">
        <v>137</v>
      </c>
      <c r="F32" s="29" t="s">
        <v>151</v>
      </c>
      <c r="G32" s="29" t="s">
        <v>138</v>
      </c>
      <c r="H32" s="30" t="s">
        <v>139</v>
      </c>
      <c r="I32" s="37">
        <v>4</v>
      </c>
      <c r="J32" s="37">
        <v>4</v>
      </c>
      <c r="K32" s="37">
        <v>4</v>
      </c>
      <c r="L32" s="37"/>
      <c r="M32" s="37"/>
      <c r="N32" s="37"/>
      <c r="O32" s="37">
        <v>4</v>
      </c>
      <c r="P32" s="37">
        <v>4</v>
      </c>
      <c r="Q32" s="36"/>
      <c r="R32" s="37"/>
      <c r="S32" s="37"/>
      <c r="T32" s="37"/>
      <c r="U32" s="37"/>
      <c r="V32" s="37"/>
      <c r="W32" s="37"/>
      <c r="X32" s="38"/>
      <c r="Y32" s="36" t="b">
        <v>0</v>
      </c>
      <c r="Z32" s="37" t="b">
        <v>0</v>
      </c>
      <c r="AA32" s="37" t="b">
        <v>0</v>
      </c>
      <c r="AB32" s="37" t="b">
        <v>1</v>
      </c>
      <c r="AC32" s="37" t="b">
        <v>1</v>
      </c>
      <c r="AD32" s="37" t="b">
        <v>1</v>
      </c>
      <c r="AE32" s="37" t="b">
        <v>0</v>
      </c>
      <c r="AF32" s="38" t="b">
        <v>0</v>
      </c>
    </row>
    <row r="33" spans="1:32" x14ac:dyDescent="0.15">
      <c r="A33" s="51" t="b">
        <v>1</v>
      </c>
      <c r="B33" s="51" t="b">
        <v>1</v>
      </c>
      <c r="C33" s="20" t="s">
        <v>24</v>
      </c>
      <c r="D33" s="22" t="s">
        <v>224</v>
      </c>
      <c r="E33" s="50" t="s">
        <v>137</v>
      </c>
      <c r="F33" s="19" t="s">
        <v>151</v>
      </c>
      <c r="G33" s="19" t="s">
        <v>138</v>
      </c>
      <c r="H33" s="31" t="s">
        <v>139</v>
      </c>
      <c r="I33" s="40"/>
      <c r="J33" s="40"/>
      <c r="K33" s="40"/>
      <c r="L33" s="40"/>
      <c r="M33" s="40"/>
      <c r="N33" s="40"/>
      <c r="O33" s="40"/>
      <c r="P33" s="40">
        <v>4</v>
      </c>
      <c r="Q33" s="39"/>
      <c r="R33" s="40"/>
      <c r="S33" s="40"/>
      <c r="T33" s="40"/>
      <c r="U33" s="40"/>
      <c r="V33" s="40"/>
      <c r="W33" s="40"/>
      <c r="X33" s="41"/>
      <c r="Y33" s="39" t="b">
        <v>1</v>
      </c>
      <c r="Z33" s="40" t="b">
        <v>1</v>
      </c>
      <c r="AA33" s="40" t="b">
        <v>1</v>
      </c>
      <c r="AB33" s="40" t="b">
        <v>1</v>
      </c>
      <c r="AC33" s="40" t="b">
        <v>1</v>
      </c>
      <c r="AD33" s="40" t="b">
        <v>1</v>
      </c>
      <c r="AE33" s="40" t="b">
        <v>1</v>
      </c>
      <c r="AF33" s="41" t="b">
        <v>0</v>
      </c>
    </row>
    <row r="34" spans="1:32" x14ac:dyDescent="0.15">
      <c r="A34" s="51" t="b">
        <v>1</v>
      </c>
      <c r="B34" s="51" t="b">
        <v>1</v>
      </c>
      <c r="C34" s="20" t="s">
        <v>25</v>
      </c>
      <c r="D34" s="22" t="s">
        <v>26</v>
      </c>
      <c r="E34" s="50" t="s">
        <v>137</v>
      </c>
      <c r="F34" s="19" t="s">
        <v>151</v>
      </c>
      <c r="G34" s="19" t="s">
        <v>138</v>
      </c>
      <c r="H34" s="31" t="s">
        <v>139</v>
      </c>
      <c r="I34" s="40">
        <v>4</v>
      </c>
      <c r="J34" s="40">
        <v>4</v>
      </c>
      <c r="K34" s="40"/>
      <c r="L34" s="40"/>
      <c r="M34" s="40"/>
      <c r="N34" s="40"/>
      <c r="O34" s="40"/>
      <c r="P34" s="40"/>
      <c r="Q34" s="39"/>
      <c r="R34" s="40"/>
      <c r="S34" s="40"/>
      <c r="T34" s="40"/>
      <c r="U34" s="40"/>
      <c r="V34" s="40"/>
      <c r="W34" s="40"/>
      <c r="X34" s="41"/>
      <c r="Y34" s="39" t="b">
        <v>0</v>
      </c>
      <c r="Z34" s="40" t="b">
        <v>0</v>
      </c>
      <c r="AA34" s="40" t="b">
        <v>1</v>
      </c>
      <c r="AB34" s="40" t="b">
        <v>1</v>
      </c>
      <c r="AC34" s="40" t="b">
        <v>1</v>
      </c>
      <c r="AD34" s="40" t="b">
        <v>1</v>
      </c>
      <c r="AE34" s="40" t="b">
        <v>1</v>
      </c>
      <c r="AF34" s="41" t="b">
        <v>1</v>
      </c>
    </row>
    <row r="35" spans="1:32" x14ac:dyDescent="0.15">
      <c r="A35" s="51" t="b">
        <v>1</v>
      </c>
      <c r="B35" s="51" t="b">
        <v>1</v>
      </c>
      <c r="C35" s="20" t="s">
        <v>27</v>
      </c>
      <c r="D35" s="22" t="s">
        <v>28</v>
      </c>
      <c r="E35" s="50" t="s">
        <v>137</v>
      </c>
      <c r="F35" s="19" t="s">
        <v>151</v>
      </c>
      <c r="G35" s="19" t="s">
        <v>138</v>
      </c>
      <c r="H35" s="31" t="s">
        <v>139</v>
      </c>
      <c r="I35" s="40">
        <v>4</v>
      </c>
      <c r="J35" s="40"/>
      <c r="K35" s="40"/>
      <c r="L35" s="40"/>
      <c r="M35" s="40"/>
      <c r="N35" s="40">
        <v>4</v>
      </c>
      <c r="O35" s="40">
        <v>4</v>
      </c>
      <c r="P35" s="40">
        <v>4</v>
      </c>
      <c r="Q35" s="39"/>
      <c r="R35" s="40"/>
      <c r="S35" s="40"/>
      <c r="T35" s="40"/>
      <c r="U35" s="40"/>
      <c r="V35" s="40"/>
      <c r="W35" s="40"/>
      <c r="X35" s="41"/>
      <c r="Y35" s="39" t="b">
        <v>0</v>
      </c>
      <c r="Z35" s="40" t="b">
        <v>1</v>
      </c>
      <c r="AA35" s="40" t="b">
        <v>1</v>
      </c>
      <c r="AB35" s="40" t="b">
        <v>1</v>
      </c>
      <c r="AC35" s="40" t="b">
        <v>1</v>
      </c>
      <c r="AD35" s="40" t="b">
        <v>0</v>
      </c>
      <c r="AE35" s="40" t="b">
        <v>0</v>
      </c>
      <c r="AF35" s="41" t="b">
        <v>0</v>
      </c>
    </row>
    <row r="36" spans="1:32" x14ac:dyDescent="0.15">
      <c r="A36" s="51" t="b">
        <v>1</v>
      </c>
      <c r="B36" s="51" t="b">
        <v>1</v>
      </c>
      <c r="C36" s="20" t="s">
        <v>29</v>
      </c>
      <c r="D36" s="21" t="s">
        <v>225</v>
      </c>
      <c r="E36" s="50" t="s">
        <v>137</v>
      </c>
      <c r="F36" s="19" t="s">
        <v>151</v>
      </c>
      <c r="G36" s="19" t="s">
        <v>138</v>
      </c>
      <c r="H36" s="31" t="s">
        <v>139</v>
      </c>
      <c r="I36" s="40">
        <v>4</v>
      </c>
      <c r="J36" s="40">
        <v>4</v>
      </c>
      <c r="K36" s="40">
        <v>4</v>
      </c>
      <c r="L36" s="40">
        <v>4</v>
      </c>
      <c r="M36" s="40">
        <v>4</v>
      </c>
      <c r="N36" s="40"/>
      <c r="O36" s="40"/>
      <c r="P36" s="40">
        <v>4</v>
      </c>
      <c r="Q36" s="39"/>
      <c r="R36" s="40"/>
      <c r="S36" s="40"/>
      <c r="T36" s="40"/>
      <c r="U36" s="40"/>
      <c r="V36" s="40"/>
      <c r="W36" s="40"/>
      <c r="X36" s="41"/>
      <c r="Y36" s="39" t="b">
        <v>0</v>
      </c>
      <c r="Z36" s="40" t="b">
        <v>0</v>
      </c>
      <c r="AA36" s="40" t="b">
        <v>0</v>
      </c>
      <c r="AB36" s="40" t="b">
        <v>0</v>
      </c>
      <c r="AC36" s="40" t="b">
        <v>0</v>
      </c>
      <c r="AD36" s="40" t="b">
        <v>1</v>
      </c>
      <c r="AE36" s="40" t="b">
        <v>1</v>
      </c>
      <c r="AF36" s="41" t="b">
        <v>0</v>
      </c>
    </row>
    <row r="37" spans="1:32" x14ac:dyDescent="0.15">
      <c r="A37" s="51" t="b">
        <v>1</v>
      </c>
      <c r="B37" s="51" t="b">
        <v>1</v>
      </c>
      <c r="C37" s="20" t="s">
        <v>30</v>
      </c>
      <c r="D37" s="21" t="s">
        <v>31</v>
      </c>
      <c r="E37" s="50" t="s">
        <v>137</v>
      </c>
      <c r="F37" s="19" t="s">
        <v>151</v>
      </c>
      <c r="G37" s="19" t="s">
        <v>138</v>
      </c>
      <c r="H37" s="31" t="s">
        <v>139</v>
      </c>
      <c r="I37" s="40">
        <v>4</v>
      </c>
      <c r="J37" s="40">
        <v>4</v>
      </c>
      <c r="K37" s="40"/>
      <c r="L37" s="40"/>
      <c r="M37" s="40"/>
      <c r="N37" s="40"/>
      <c r="O37" s="40"/>
      <c r="P37" s="40">
        <v>4</v>
      </c>
      <c r="Q37" s="39"/>
      <c r="R37" s="40"/>
      <c r="S37" s="40"/>
      <c r="T37" s="40"/>
      <c r="U37" s="40"/>
      <c r="V37" s="40"/>
      <c r="W37" s="40"/>
      <c r="X37" s="41"/>
      <c r="Y37" s="39" t="b">
        <v>0</v>
      </c>
      <c r="Z37" s="40" t="b">
        <v>0</v>
      </c>
      <c r="AA37" s="40" t="b">
        <v>1</v>
      </c>
      <c r="AB37" s="40" t="b">
        <v>1</v>
      </c>
      <c r="AC37" s="40" t="b">
        <v>1</v>
      </c>
      <c r="AD37" s="40" t="b">
        <v>1</v>
      </c>
      <c r="AE37" s="40" t="b">
        <v>1</v>
      </c>
      <c r="AF37" s="41" t="b">
        <v>0</v>
      </c>
    </row>
    <row r="38" spans="1:32" x14ac:dyDescent="0.15">
      <c r="A38" s="51" t="b">
        <v>1</v>
      </c>
      <c r="B38" s="51" t="b">
        <v>1</v>
      </c>
      <c r="C38" s="20" t="s">
        <v>32</v>
      </c>
      <c r="D38" s="21" t="s">
        <v>33</v>
      </c>
      <c r="E38" s="50" t="s">
        <v>137</v>
      </c>
      <c r="F38" s="19" t="s">
        <v>151</v>
      </c>
      <c r="G38" s="19" t="s">
        <v>138</v>
      </c>
      <c r="H38" s="31" t="s">
        <v>139</v>
      </c>
      <c r="I38" s="40">
        <v>4</v>
      </c>
      <c r="J38" s="40">
        <v>4</v>
      </c>
      <c r="K38" s="40">
        <v>4</v>
      </c>
      <c r="L38" s="40">
        <v>4</v>
      </c>
      <c r="M38" s="40">
        <v>4</v>
      </c>
      <c r="N38" s="40">
        <v>4</v>
      </c>
      <c r="O38" s="40">
        <v>4</v>
      </c>
      <c r="P38" s="40"/>
      <c r="Q38" s="39"/>
      <c r="R38" s="40"/>
      <c r="S38" s="40"/>
      <c r="T38" s="40"/>
      <c r="U38" s="40"/>
      <c r="V38" s="40"/>
      <c r="W38" s="40"/>
      <c r="X38" s="41"/>
      <c r="Y38" s="39" t="b">
        <v>0</v>
      </c>
      <c r="Z38" s="40" t="b">
        <v>0</v>
      </c>
      <c r="AA38" s="40" t="b">
        <v>0</v>
      </c>
      <c r="AB38" s="40" t="b">
        <v>0</v>
      </c>
      <c r="AC38" s="40" t="b">
        <v>0</v>
      </c>
      <c r="AD38" s="40" t="b">
        <v>0</v>
      </c>
      <c r="AE38" s="40" t="b">
        <v>0</v>
      </c>
      <c r="AF38" s="41" t="b">
        <v>1</v>
      </c>
    </row>
    <row r="39" spans="1:32" x14ac:dyDescent="0.15">
      <c r="A39" s="51" t="b">
        <v>1</v>
      </c>
      <c r="B39" s="51" t="b">
        <v>1</v>
      </c>
      <c r="C39" s="20" t="s">
        <v>34</v>
      </c>
      <c r="D39" s="21" t="s">
        <v>35</v>
      </c>
      <c r="E39" s="50" t="s">
        <v>137</v>
      </c>
      <c r="F39" s="19" t="s">
        <v>151</v>
      </c>
      <c r="G39" s="19" t="s">
        <v>138</v>
      </c>
      <c r="H39" s="31" t="s">
        <v>139</v>
      </c>
      <c r="I39" s="40">
        <v>4</v>
      </c>
      <c r="J39" s="40">
        <v>4</v>
      </c>
      <c r="K39" s="40">
        <v>4</v>
      </c>
      <c r="L39" s="40">
        <v>4</v>
      </c>
      <c r="M39" s="40">
        <v>4</v>
      </c>
      <c r="N39" s="40">
        <v>4</v>
      </c>
      <c r="O39" s="40">
        <v>4</v>
      </c>
      <c r="P39" s="40"/>
      <c r="Q39" s="39"/>
      <c r="R39" s="40"/>
      <c r="S39" s="40"/>
      <c r="T39" s="40"/>
      <c r="U39" s="40"/>
      <c r="V39" s="40"/>
      <c r="W39" s="40"/>
      <c r="X39" s="41"/>
      <c r="Y39" s="39" t="b">
        <v>0</v>
      </c>
      <c r="Z39" s="40" t="b">
        <v>0</v>
      </c>
      <c r="AA39" s="40" t="b">
        <v>0</v>
      </c>
      <c r="AB39" s="40" t="b">
        <v>0</v>
      </c>
      <c r="AC39" s="40" t="b">
        <v>0</v>
      </c>
      <c r="AD39" s="40" t="b">
        <v>0</v>
      </c>
      <c r="AE39" s="40" t="b">
        <v>0</v>
      </c>
      <c r="AF39" s="41" t="b">
        <v>1</v>
      </c>
    </row>
    <row r="40" spans="1:32" x14ac:dyDescent="0.15">
      <c r="A40" s="51" t="b">
        <v>1</v>
      </c>
      <c r="B40" s="51" t="b">
        <v>1</v>
      </c>
      <c r="C40" s="20" t="s">
        <v>36</v>
      </c>
      <c r="D40" s="21" t="s">
        <v>37</v>
      </c>
      <c r="E40" s="50" t="s">
        <v>137</v>
      </c>
      <c r="F40" s="19" t="s">
        <v>151</v>
      </c>
      <c r="G40" s="19" t="s">
        <v>138</v>
      </c>
      <c r="H40" s="31" t="s">
        <v>139</v>
      </c>
      <c r="I40" s="40">
        <v>4</v>
      </c>
      <c r="J40" s="40">
        <v>4</v>
      </c>
      <c r="K40" s="40">
        <v>4</v>
      </c>
      <c r="L40" s="40">
        <v>4</v>
      </c>
      <c r="M40" s="40">
        <v>4</v>
      </c>
      <c r="N40" s="40">
        <v>4</v>
      </c>
      <c r="O40" s="40">
        <v>4</v>
      </c>
      <c r="P40" s="40"/>
      <c r="Q40" s="39"/>
      <c r="R40" s="40"/>
      <c r="S40" s="40"/>
      <c r="T40" s="40"/>
      <c r="U40" s="40"/>
      <c r="V40" s="40"/>
      <c r="W40" s="40"/>
      <c r="X40" s="41"/>
      <c r="Y40" s="39" t="b">
        <v>0</v>
      </c>
      <c r="Z40" s="40" t="b">
        <v>0</v>
      </c>
      <c r="AA40" s="40" t="b">
        <v>0</v>
      </c>
      <c r="AB40" s="40" t="b">
        <v>0</v>
      </c>
      <c r="AC40" s="40" t="b">
        <v>0</v>
      </c>
      <c r="AD40" s="40" t="b">
        <v>0</v>
      </c>
      <c r="AE40" s="40" t="b">
        <v>0</v>
      </c>
      <c r="AF40" s="41" t="b">
        <v>1</v>
      </c>
    </row>
    <row r="41" spans="1:32" x14ac:dyDescent="0.15">
      <c r="A41" s="51" t="b">
        <v>1</v>
      </c>
      <c r="B41" s="51" t="b">
        <v>1</v>
      </c>
      <c r="C41" s="20" t="s">
        <v>38</v>
      </c>
      <c r="D41" s="21" t="s">
        <v>39</v>
      </c>
      <c r="E41" s="50" t="s">
        <v>137</v>
      </c>
      <c r="F41" s="19" t="s">
        <v>151</v>
      </c>
      <c r="G41" s="19" t="s">
        <v>138</v>
      </c>
      <c r="H41" s="31" t="s">
        <v>139</v>
      </c>
      <c r="I41" s="40">
        <v>4</v>
      </c>
      <c r="J41" s="40">
        <v>4</v>
      </c>
      <c r="K41" s="40">
        <v>4</v>
      </c>
      <c r="L41" s="40">
        <v>4</v>
      </c>
      <c r="M41" s="40">
        <v>4</v>
      </c>
      <c r="N41" s="40"/>
      <c r="O41" s="40"/>
      <c r="P41" s="40"/>
      <c r="Q41" s="39"/>
      <c r="R41" s="40"/>
      <c r="S41" s="40"/>
      <c r="T41" s="40"/>
      <c r="U41" s="40"/>
      <c r="V41" s="40"/>
      <c r="W41" s="40"/>
      <c r="X41" s="41"/>
      <c r="Y41" s="39" t="b">
        <v>0</v>
      </c>
      <c r="Z41" s="40" t="b">
        <v>0</v>
      </c>
      <c r="AA41" s="40" t="b">
        <v>0</v>
      </c>
      <c r="AB41" s="40" t="b">
        <v>0</v>
      </c>
      <c r="AC41" s="40" t="b">
        <v>0</v>
      </c>
      <c r="AD41" s="40" t="b">
        <v>1</v>
      </c>
      <c r="AE41" s="40" t="b">
        <v>1</v>
      </c>
      <c r="AF41" s="41" t="b">
        <v>1</v>
      </c>
    </row>
    <row r="42" spans="1:32" x14ac:dyDescent="0.15">
      <c r="A42" s="51" t="b">
        <v>1</v>
      </c>
      <c r="B42" s="51" t="b">
        <v>1</v>
      </c>
      <c r="C42" s="20" t="s">
        <v>40</v>
      </c>
      <c r="D42" s="21" t="s">
        <v>41</v>
      </c>
      <c r="E42" s="50" t="s">
        <v>137</v>
      </c>
      <c r="F42" s="19" t="s">
        <v>151</v>
      </c>
      <c r="G42" s="19" t="s">
        <v>138</v>
      </c>
      <c r="H42" s="31" t="s">
        <v>139</v>
      </c>
      <c r="I42" s="40"/>
      <c r="J42" s="40"/>
      <c r="K42" s="40"/>
      <c r="L42" s="40"/>
      <c r="M42" s="40"/>
      <c r="N42" s="40"/>
      <c r="O42" s="40"/>
      <c r="P42" s="40"/>
      <c r="Q42" s="39"/>
      <c r="R42" s="40"/>
      <c r="S42" s="40"/>
      <c r="T42" s="40"/>
      <c r="U42" s="40"/>
      <c r="V42" s="40"/>
      <c r="W42" s="40"/>
      <c r="X42" s="41"/>
      <c r="Y42" s="39" t="b">
        <v>1</v>
      </c>
      <c r="Z42" s="40" t="b">
        <v>1</v>
      </c>
      <c r="AA42" s="40" t="b">
        <v>1</v>
      </c>
      <c r="AB42" s="40" t="b">
        <v>1</v>
      </c>
      <c r="AC42" s="40" t="b">
        <v>1</v>
      </c>
      <c r="AD42" s="40" t="b">
        <v>1</v>
      </c>
      <c r="AE42" s="40" t="b">
        <v>1</v>
      </c>
      <c r="AF42" s="41" t="b">
        <v>1</v>
      </c>
    </row>
    <row r="43" spans="1:32" x14ac:dyDescent="0.15">
      <c r="A43" s="51" t="b">
        <v>1</v>
      </c>
      <c r="B43" s="51" t="b">
        <v>1</v>
      </c>
      <c r="C43" s="20" t="s">
        <v>42</v>
      </c>
      <c r="D43" s="21" t="s">
        <v>43</v>
      </c>
      <c r="E43" s="50" t="s">
        <v>137</v>
      </c>
      <c r="F43" s="19" t="s">
        <v>151</v>
      </c>
      <c r="G43" s="19" t="s">
        <v>138</v>
      </c>
      <c r="H43" s="31" t="s">
        <v>139</v>
      </c>
      <c r="I43" s="40"/>
      <c r="J43" s="40"/>
      <c r="K43" s="40"/>
      <c r="L43" s="40"/>
      <c r="M43" s="40"/>
      <c r="N43" s="40"/>
      <c r="O43" s="40"/>
      <c r="P43" s="40"/>
      <c r="Q43" s="39"/>
      <c r="R43" s="40"/>
      <c r="S43" s="40"/>
      <c r="T43" s="40"/>
      <c r="U43" s="40"/>
      <c r="V43" s="40"/>
      <c r="W43" s="40"/>
      <c r="X43" s="41"/>
      <c r="Y43" s="39" t="b">
        <v>1</v>
      </c>
      <c r="Z43" s="40" t="b">
        <v>1</v>
      </c>
      <c r="AA43" s="40" t="b">
        <v>1</v>
      </c>
      <c r="AB43" s="40" t="b">
        <v>1</v>
      </c>
      <c r="AC43" s="40" t="b">
        <v>1</v>
      </c>
      <c r="AD43" s="40" t="b">
        <v>1</v>
      </c>
      <c r="AE43" s="40" t="b">
        <v>1</v>
      </c>
      <c r="AF43" s="41" t="b">
        <v>1</v>
      </c>
    </row>
    <row r="44" spans="1:32" x14ac:dyDescent="0.15">
      <c r="A44" s="51" t="b">
        <v>0</v>
      </c>
      <c r="B44" s="51" t="b">
        <v>0</v>
      </c>
      <c r="C44" s="20" t="s">
        <v>161</v>
      </c>
      <c r="D44" s="21"/>
      <c r="E44" s="50" t="s">
        <v>137</v>
      </c>
      <c r="F44" s="19" t="s">
        <v>151</v>
      </c>
      <c r="G44" s="19" t="s">
        <v>138</v>
      </c>
      <c r="H44" s="31" t="s">
        <v>139</v>
      </c>
      <c r="I44" s="40"/>
      <c r="J44" s="40"/>
      <c r="K44" s="40"/>
      <c r="L44" s="40"/>
      <c r="M44" s="40"/>
      <c r="N44" s="40"/>
      <c r="O44" s="40"/>
      <c r="P44" s="40"/>
      <c r="Q44" s="39"/>
      <c r="R44" s="40"/>
      <c r="S44" s="40"/>
      <c r="T44" s="40"/>
      <c r="U44" s="40"/>
      <c r="V44" s="40"/>
      <c r="W44" s="40"/>
      <c r="X44" s="41"/>
      <c r="Y44" s="39" t="b">
        <v>1</v>
      </c>
      <c r="Z44" s="40" t="b">
        <v>1</v>
      </c>
      <c r="AA44" s="40" t="b">
        <v>1</v>
      </c>
      <c r="AB44" s="40" t="b">
        <v>1</v>
      </c>
      <c r="AC44" s="40" t="b">
        <v>1</v>
      </c>
      <c r="AD44" s="40" t="b">
        <v>1</v>
      </c>
      <c r="AE44" s="40" t="b">
        <v>1</v>
      </c>
      <c r="AF44" s="41" t="b">
        <v>1</v>
      </c>
    </row>
    <row r="45" spans="1:32" x14ac:dyDescent="0.15">
      <c r="A45" s="51" t="b">
        <v>0</v>
      </c>
      <c r="B45" s="51" t="b">
        <v>0</v>
      </c>
      <c r="C45" s="20" t="s">
        <v>162</v>
      </c>
      <c r="D45" s="21"/>
      <c r="E45" s="50" t="s">
        <v>137</v>
      </c>
      <c r="F45" s="19" t="s">
        <v>151</v>
      </c>
      <c r="G45" s="19" t="s">
        <v>138</v>
      </c>
      <c r="H45" s="31" t="s">
        <v>139</v>
      </c>
      <c r="I45" s="40"/>
      <c r="J45" s="40"/>
      <c r="K45" s="40"/>
      <c r="L45" s="40"/>
      <c r="M45" s="40"/>
      <c r="N45" s="40"/>
      <c r="O45" s="40"/>
      <c r="P45" s="40"/>
      <c r="Q45" s="39"/>
      <c r="R45" s="40"/>
      <c r="S45" s="40"/>
      <c r="T45" s="40"/>
      <c r="U45" s="40"/>
      <c r="V45" s="40"/>
      <c r="W45" s="40"/>
      <c r="X45" s="41"/>
      <c r="Y45" s="39" t="b">
        <v>1</v>
      </c>
      <c r="Z45" s="40" t="b">
        <v>1</v>
      </c>
      <c r="AA45" s="40" t="b">
        <v>1</v>
      </c>
      <c r="AB45" s="40" t="b">
        <v>1</v>
      </c>
      <c r="AC45" s="40" t="b">
        <v>1</v>
      </c>
      <c r="AD45" s="40" t="b">
        <v>1</v>
      </c>
      <c r="AE45" s="40" t="b">
        <v>1</v>
      </c>
      <c r="AF45" s="41" t="b">
        <v>1</v>
      </c>
    </row>
    <row r="46" spans="1:32" x14ac:dyDescent="0.15">
      <c r="A46" s="51" t="b">
        <v>0</v>
      </c>
      <c r="B46" s="51" t="b">
        <v>0</v>
      </c>
      <c r="C46" s="20" t="s">
        <v>163</v>
      </c>
      <c r="D46" s="21"/>
      <c r="E46" s="50" t="s">
        <v>137</v>
      </c>
      <c r="F46" s="19" t="s">
        <v>151</v>
      </c>
      <c r="G46" s="19" t="s">
        <v>138</v>
      </c>
      <c r="H46" s="31" t="s">
        <v>139</v>
      </c>
      <c r="I46" s="40"/>
      <c r="J46" s="40"/>
      <c r="K46" s="40"/>
      <c r="L46" s="40"/>
      <c r="M46" s="40"/>
      <c r="N46" s="40"/>
      <c r="O46" s="40"/>
      <c r="P46" s="40"/>
      <c r="Q46" s="39"/>
      <c r="R46" s="40"/>
      <c r="S46" s="40"/>
      <c r="T46" s="40"/>
      <c r="U46" s="40"/>
      <c r="V46" s="40"/>
      <c r="W46" s="40"/>
      <c r="X46" s="41"/>
      <c r="Y46" s="39" t="b">
        <v>1</v>
      </c>
      <c r="Z46" s="40" t="b">
        <v>1</v>
      </c>
      <c r="AA46" s="40" t="b">
        <v>1</v>
      </c>
      <c r="AB46" s="40" t="b">
        <v>1</v>
      </c>
      <c r="AC46" s="40" t="b">
        <v>1</v>
      </c>
      <c r="AD46" s="40" t="b">
        <v>1</v>
      </c>
      <c r="AE46" s="40" t="b">
        <v>1</v>
      </c>
      <c r="AF46" s="41" t="b">
        <v>1</v>
      </c>
    </row>
    <row r="47" spans="1:32" x14ac:dyDescent="0.15">
      <c r="A47" s="51" t="b">
        <v>0</v>
      </c>
      <c r="B47" s="51" t="b">
        <v>0</v>
      </c>
      <c r="C47" s="20" t="s">
        <v>164</v>
      </c>
      <c r="D47" s="21"/>
      <c r="E47" s="50" t="s">
        <v>137</v>
      </c>
      <c r="F47" s="19" t="s">
        <v>151</v>
      </c>
      <c r="G47" s="19" t="s">
        <v>138</v>
      </c>
      <c r="H47" s="31" t="s">
        <v>139</v>
      </c>
      <c r="I47" s="40"/>
      <c r="J47" s="40"/>
      <c r="K47" s="40"/>
      <c r="L47" s="40"/>
      <c r="M47" s="40"/>
      <c r="N47" s="40"/>
      <c r="O47" s="40"/>
      <c r="P47" s="40"/>
      <c r="Q47" s="39"/>
      <c r="R47" s="40"/>
      <c r="S47" s="40"/>
      <c r="T47" s="40"/>
      <c r="U47" s="40"/>
      <c r="V47" s="40"/>
      <c r="W47" s="40"/>
      <c r="X47" s="41"/>
      <c r="Y47" s="39" t="b">
        <v>1</v>
      </c>
      <c r="Z47" s="40" t="b">
        <v>1</v>
      </c>
      <c r="AA47" s="40" t="b">
        <v>1</v>
      </c>
      <c r="AB47" s="40" t="b">
        <v>1</v>
      </c>
      <c r="AC47" s="40" t="b">
        <v>1</v>
      </c>
      <c r="AD47" s="40" t="b">
        <v>1</v>
      </c>
      <c r="AE47" s="40" t="b">
        <v>1</v>
      </c>
      <c r="AF47" s="41" t="b">
        <v>1</v>
      </c>
    </row>
    <row r="48" spans="1:32" x14ac:dyDescent="0.15">
      <c r="A48" s="51" t="b">
        <v>0</v>
      </c>
      <c r="B48" s="51" t="b">
        <v>0</v>
      </c>
      <c r="C48" s="20" t="s">
        <v>165</v>
      </c>
      <c r="D48" s="21"/>
      <c r="E48" s="50" t="s">
        <v>137</v>
      </c>
      <c r="F48" s="19" t="s">
        <v>151</v>
      </c>
      <c r="G48" s="19" t="s">
        <v>138</v>
      </c>
      <c r="H48" s="31" t="s">
        <v>139</v>
      </c>
      <c r="I48" s="40"/>
      <c r="J48" s="40"/>
      <c r="K48" s="40"/>
      <c r="L48" s="40"/>
      <c r="M48" s="40"/>
      <c r="N48" s="40"/>
      <c r="O48" s="40"/>
      <c r="P48" s="40"/>
      <c r="Q48" s="39"/>
      <c r="R48" s="40"/>
      <c r="S48" s="40"/>
      <c r="T48" s="40"/>
      <c r="U48" s="40"/>
      <c r="V48" s="40"/>
      <c r="W48" s="40"/>
      <c r="X48" s="41"/>
      <c r="Y48" s="39" t="b">
        <v>1</v>
      </c>
      <c r="Z48" s="40" t="b">
        <v>1</v>
      </c>
      <c r="AA48" s="40" t="b">
        <v>1</v>
      </c>
      <c r="AB48" s="40" t="b">
        <v>1</v>
      </c>
      <c r="AC48" s="40" t="b">
        <v>1</v>
      </c>
      <c r="AD48" s="40" t="b">
        <v>1</v>
      </c>
      <c r="AE48" s="40" t="b">
        <v>1</v>
      </c>
      <c r="AF48" s="41" t="b">
        <v>1</v>
      </c>
    </row>
    <row r="49" spans="1:32" x14ac:dyDescent="0.15">
      <c r="A49" s="51" t="b">
        <v>0</v>
      </c>
      <c r="B49" s="51" t="b">
        <v>0</v>
      </c>
      <c r="C49" s="20" t="s">
        <v>166</v>
      </c>
      <c r="D49" s="21"/>
      <c r="E49" s="50" t="s">
        <v>137</v>
      </c>
      <c r="F49" s="19" t="s">
        <v>151</v>
      </c>
      <c r="G49" s="19" t="s">
        <v>138</v>
      </c>
      <c r="H49" s="31" t="s">
        <v>139</v>
      </c>
      <c r="I49" s="40"/>
      <c r="J49" s="40"/>
      <c r="K49" s="40"/>
      <c r="L49" s="40"/>
      <c r="M49" s="40"/>
      <c r="N49" s="40"/>
      <c r="O49" s="40"/>
      <c r="P49" s="40"/>
      <c r="Q49" s="39"/>
      <c r="R49" s="40"/>
      <c r="S49" s="40"/>
      <c r="T49" s="40"/>
      <c r="U49" s="40"/>
      <c r="V49" s="40"/>
      <c r="W49" s="40"/>
      <c r="X49" s="41"/>
      <c r="Y49" s="39" t="b">
        <v>1</v>
      </c>
      <c r="Z49" s="40" t="b">
        <v>1</v>
      </c>
      <c r="AA49" s="40" t="b">
        <v>1</v>
      </c>
      <c r="AB49" s="40" t="b">
        <v>1</v>
      </c>
      <c r="AC49" s="40" t="b">
        <v>1</v>
      </c>
      <c r="AD49" s="40" t="b">
        <v>1</v>
      </c>
      <c r="AE49" s="40" t="b">
        <v>1</v>
      </c>
      <c r="AF49" s="41" t="b">
        <v>1</v>
      </c>
    </row>
    <row r="50" spans="1:32" x14ac:dyDescent="0.15">
      <c r="A50" s="51" t="b">
        <v>0</v>
      </c>
      <c r="B50" s="51" t="b">
        <v>0</v>
      </c>
      <c r="C50" s="20" t="s">
        <v>167</v>
      </c>
      <c r="D50" s="21"/>
      <c r="E50" s="50" t="s">
        <v>137</v>
      </c>
      <c r="F50" s="19" t="s">
        <v>151</v>
      </c>
      <c r="G50" s="19" t="s">
        <v>138</v>
      </c>
      <c r="H50" s="31" t="s">
        <v>139</v>
      </c>
      <c r="I50" s="40"/>
      <c r="J50" s="40"/>
      <c r="K50" s="40"/>
      <c r="L50" s="40"/>
      <c r="M50" s="40"/>
      <c r="N50" s="40"/>
      <c r="O50" s="40"/>
      <c r="P50" s="40"/>
      <c r="Q50" s="39"/>
      <c r="R50" s="40"/>
      <c r="S50" s="40"/>
      <c r="T50" s="40"/>
      <c r="U50" s="40"/>
      <c r="V50" s="40"/>
      <c r="W50" s="40"/>
      <c r="X50" s="41"/>
      <c r="Y50" s="39" t="b">
        <v>1</v>
      </c>
      <c r="Z50" s="40" t="b">
        <v>1</v>
      </c>
      <c r="AA50" s="40" t="b">
        <v>1</v>
      </c>
      <c r="AB50" s="40" t="b">
        <v>1</v>
      </c>
      <c r="AC50" s="40" t="b">
        <v>1</v>
      </c>
      <c r="AD50" s="40" t="b">
        <v>1</v>
      </c>
      <c r="AE50" s="40" t="b">
        <v>1</v>
      </c>
      <c r="AF50" s="41" t="b">
        <v>1</v>
      </c>
    </row>
    <row r="51" spans="1:32" x14ac:dyDescent="0.15">
      <c r="A51" s="51" t="b">
        <v>0</v>
      </c>
      <c r="B51" s="51" t="b">
        <v>0</v>
      </c>
      <c r="C51" s="20" t="s">
        <v>168</v>
      </c>
      <c r="D51" s="21"/>
      <c r="E51" s="50" t="s">
        <v>137</v>
      </c>
      <c r="F51" s="19" t="s">
        <v>151</v>
      </c>
      <c r="G51" s="19" t="s">
        <v>138</v>
      </c>
      <c r="H51" s="31" t="s">
        <v>139</v>
      </c>
      <c r="I51" s="40"/>
      <c r="J51" s="40"/>
      <c r="K51" s="40"/>
      <c r="L51" s="40"/>
      <c r="M51" s="40"/>
      <c r="N51" s="40"/>
      <c r="O51" s="40"/>
      <c r="P51" s="40"/>
      <c r="Q51" s="39"/>
      <c r="R51" s="40"/>
      <c r="S51" s="40"/>
      <c r="T51" s="40"/>
      <c r="U51" s="40"/>
      <c r="V51" s="40"/>
      <c r="W51" s="40"/>
      <c r="X51" s="41"/>
      <c r="Y51" s="39" t="b">
        <v>1</v>
      </c>
      <c r="Z51" s="40" t="b">
        <v>1</v>
      </c>
      <c r="AA51" s="40" t="b">
        <v>1</v>
      </c>
      <c r="AB51" s="40" t="b">
        <v>1</v>
      </c>
      <c r="AC51" s="40" t="b">
        <v>1</v>
      </c>
      <c r="AD51" s="40" t="b">
        <v>1</v>
      </c>
      <c r="AE51" s="40" t="b">
        <v>1</v>
      </c>
      <c r="AF51" s="41" t="b">
        <v>1</v>
      </c>
    </row>
    <row r="52" spans="1:32" s="299" customFormat="1" x14ac:dyDescent="0.15">
      <c r="A52" s="303" t="b">
        <f>IF(COUNTIFS(A32:A51,FALSE)=0,FALSE,TRUE)</f>
        <v>1</v>
      </c>
      <c r="B52" s="303" t="b">
        <f>IF(COUNTIFS(B32:B51,FALSE)=0,FALSE,TRUE)</f>
        <v>1</v>
      </c>
      <c r="C52" s="304"/>
      <c r="D52" s="305" t="s">
        <v>153</v>
      </c>
      <c r="E52" s="315"/>
      <c r="F52" s="305"/>
      <c r="G52" s="305"/>
      <c r="H52" s="316"/>
      <c r="I52" s="307"/>
      <c r="J52" s="307"/>
      <c r="K52" s="307"/>
      <c r="L52" s="307"/>
      <c r="M52" s="307"/>
      <c r="N52" s="307"/>
      <c r="O52" s="307"/>
      <c r="P52" s="307"/>
      <c r="Q52" s="306"/>
      <c r="R52" s="307"/>
      <c r="S52" s="307"/>
      <c r="T52" s="307"/>
      <c r="U52" s="307"/>
      <c r="V52" s="307"/>
      <c r="W52" s="307"/>
      <c r="X52" s="308"/>
      <c r="Y52" s="306" t="b">
        <v>1</v>
      </c>
      <c r="Z52" s="307" t="b">
        <v>1</v>
      </c>
      <c r="AA52" s="307" t="b">
        <v>1</v>
      </c>
      <c r="AB52" s="307" t="b">
        <v>1</v>
      </c>
      <c r="AC52" s="307" t="b">
        <v>1</v>
      </c>
      <c r="AD52" s="307" t="b">
        <v>1</v>
      </c>
      <c r="AE52" s="307" t="b">
        <v>1</v>
      </c>
      <c r="AF52" s="308" t="b">
        <v>1</v>
      </c>
    </row>
    <row r="53" spans="1:32" s="321" customFormat="1" x14ac:dyDescent="0.15">
      <c r="A53" s="322"/>
      <c r="B53" s="322"/>
      <c r="C53" s="323"/>
      <c r="D53" s="324"/>
      <c r="E53" s="325"/>
      <c r="F53" s="324"/>
      <c r="G53" s="324"/>
      <c r="H53" s="326"/>
      <c r="I53" s="317"/>
      <c r="J53" s="317"/>
      <c r="K53" s="317"/>
      <c r="L53" s="317"/>
      <c r="M53" s="317"/>
      <c r="N53" s="317"/>
      <c r="O53" s="317"/>
      <c r="P53" s="317"/>
      <c r="Q53" s="327"/>
      <c r="R53" s="317"/>
      <c r="S53" s="317"/>
      <c r="T53" s="317"/>
      <c r="U53" s="317"/>
      <c r="V53" s="317"/>
      <c r="W53" s="317"/>
      <c r="X53" s="328"/>
      <c r="Y53" s="327" t="b">
        <v>1</v>
      </c>
      <c r="Z53" s="317" t="b">
        <v>1</v>
      </c>
      <c r="AA53" s="317" t="b">
        <v>1</v>
      </c>
      <c r="AB53" s="317" t="b">
        <v>1</v>
      </c>
      <c r="AC53" s="317" t="b">
        <v>1</v>
      </c>
      <c r="AD53" s="317" t="b">
        <v>1</v>
      </c>
      <c r="AE53" s="317" t="b">
        <v>1</v>
      </c>
      <c r="AF53" s="328" t="b">
        <v>1</v>
      </c>
    </row>
    <row r="54" spans="1:32" x14ac:dyDescent="0.15">
      <c r="A54" s="51" t="b">
        <v>1</v>
      </c>
      <c r="B54" s="51" t="b">
        <v>1</v>
      </c>
      <c r="C54" s="20" t="s">
        <v>44</v>
      </c>
      <c r="D54" s="22" t="s">
        <v>45</v>
      </c>
      <c r="E54" s="50" t="s">
        <v>137</v>
      </c>
      <c r="F54" s="19" t="s">
        <v>151</v>
      </c>
      <c r="G54" s="19" t="s">
        <v>138</v>
      </c>
      <c r="H54" s="31" t="s">
        <v>139</v>
      </c>
      <c r="O54" s="17">
        <v>4</v>
      </c>
      <c r="P54" s="17">
        <v>4</v>
      </c>
      <c r="Q54" s="39"/>
      <c r="R54" s="40"/>
      <c r="S54" s="40"/>
      <c r="T54" s="40"/>
      <c r="U54" s="40"/>
      <c r="V54" s="40"/>
      <c r="W54" s="40"/>
      <c r="X54" s="41"/>
      <c r="Y54" s="39" t="b">
        <v>1</v>
      </c>
      <c r="Z54" s="40" t="b">
        <v>1</v>
      </c>
      <c r="AA54" s="40" t="b">
        <v>1</v>
      </c>
      <c r="AB54" s="40" t="b">
        <v>1</v>
      </c>
      <c r="AC54" s="40" t="b">
        <v>1</v>
      </c>
      <c r="AD54" s="40" t="b">
        <v>1</v>
      </c>
      <c r="AE54" s="40" t="b">
        <v>0</v>
      </c>
      <c r="AF54" s="41" t="b">
        <v>0</v>
      </c>
    </row>
    <row r="55" spans="1:32" x14ac:dyDescent="0.15">
      <c r="A55" s="51" t="b">
        <v>1</v>
      </c>
      <c r="B55" s="51" t="b">
        <v>1</v>
      </c>
      <c r="C55" s="20" t="s">
        <v>46</v>
      </c>
      <c r="D55" s="22" t="s">
        <v>47</v>
      </c>
      <c r="E55" s="50" t="s">
        <v>137</v>
      </c>
      <c r="F55" s="19" t="s">
        <v>151</v>
      </c>
      <c r="G55" s="19" t="s">
        <v>138</v>
      </c>
      <c r="H55" s="31" t="s">
        <v>139</v>
      </c>
      <c r="O55" s="17">
        <v>4</v>
      </c>
      <c r="P55" s="17">
        <v>4</v>
      </c>
      <c r="Q55" s="39"/>
      <c r="R55" s="40"/>
      <c r="S55" s="40"/>
      <c r="T55" s="40"/>
      <c r="U55" s="40"/>
      <c r="V55" s="40"/>
      <c r="W55" s="40"/>
      <c r="X55" s="41"/>
      <c r="Y55" s="39" t="b">
        <v>1</v>
      </c>
      <c r="Z55" s="40" t="b">
        <v>1</v>
      </c>
      <c r="AA55" s="40" t="b">
        <v>1</v>
      </c>
      <c r="AB55" s="40" t="b">
        <v>1</v>
      </c>
      <c r="AC55" s="40" t="b">
        <v>1</v>
      </c>
      <c r="AD55" s="40" t="b">
        <v>1</v>
      </c>
      <c r="AE55" s="40" t="b">
        <v>0</v>
      </c>
      <c r="AF55" s="41" t="b">
        <v>0</v>
      </c>
    </row>
    <row r="56" spans="1:32" x14ac:dyDescent="0.15">
      <c r="A56" s="51" t="b">
        <v>1</v>
      </c>
      <c r="B56" s="51" t="b">
        <v>1</v>
      </c>
      <c r="C56" s="20" t="s">
        <v>48</v>
      </c>
      <c r="D56" s="22" t="s">
        <v>49</v>
      </c>
      <c r="E56" s="50" t="s">
        <v>137</v>
      </c>
      <c r="F56" s="19" t="s">
        <v>151</v>
      </c>
      <c r="G56" s="19" t="s">
        <v>138</v>
      </c>
      <c r="H56" s="31" t="s">
        <v>139</v>
      </c>
      <c r="O56" s="17">
        <v>4</v>
      </c>
      <c r="P56" s="17">
        <v>4</v>
      </c>
      <c r="Q56" s="39"/>
      <c r="R56" s="40"/>
      <c r="S56" s="40"/>
      <c r="T56" s="40"/>
      <c r="U56" s="40"/>
      <c r="V56" s="40"/>
      <c r="W56" s="40"/>
      <c r="X56" s="41"/>
      <c r="Y56" s="39" t="b">
        <v>1</v>
      </c>
      <c r="Z56" s="40" t="b">
        <v>1</v>
      </c>
      <c r="AA56" s="40" t="b">
        <v>1</v>
      </c>
      <c r="AB56" s="40" t="b">
        <v>1</v>
      </c>
      <c r="AC56" s="40" t="b">
        <v>1</v>
      </c>
      <c r="AD56" s="40" t="b">
        <v>1</v>
      </c>
      <c r="AE56" s="40" t="b">
        <v>0</v>
      </c>
      <c r="AF56" s="41" t="b">
        <v>0</v>
      </c>
    </row>
    <row r="57" spans="1:32" x14ac:dyDescent="0.15">
      <c r="A57" s="51" t="b">
        <v>1</v>
      </c>
      <c r="B57" s="51" t="b">
        <v>1</v>
      </c>
      <c r="C57" s="20" t="s">
        <v>50</v>
      </c>
      <c r="D57" s="22" t="s">
        <v>51</v>
      </c>
      <c r="E57" s="50" t="s">
        <v>137</v>
      </c>
      <c r="F57" s="19" t="s">
        <v>151</v>
      </c>
      <c r="G57" s="19" t="s">
        <v>138</v>
      </c>
      <c r="H57" s="31" t="s">
        <v>139</v>
      </c>
      <c r="I57" s="17">
        <v>4</v>
      </c>
      <c r="O57" s="17">
        <v>4</v>
      </c>
      <c r="P57" s="17">
        <v>4</v>
      </c>
      <c r="Q57" s="39"/>
      <c r="R57" s="40"/>
      <c r="S57" s="40"/>
      <c r="T57" s="40"/>
      <c r="U57" s="40"/>
      <c r="V57" s="40"/>
      <c r="W57" s="40"/>
      <c r="X57" s="41"/>
      <c r="Y57" s="39" t="b">
        <v>0</v>
      </c>
      <c r="Z57" s="40" t="b">
        <v>1</v>
      </c>
      <c r="AA57" s="40" t="b">
        <v>1</v>
      </c>
      <c r="AB57" s="40" t="b">
        <v>1</v>
      </c>
      <c r="AC57" s="40" t="b">
        <v>1</v>
      </c>
      <c r="AD57" s="40" t="b">
        <v>1</v>
      </c>
      <c r="AE57" s="40" t="b">
        <v>0</v>
      </c>
      <c r="AF57" s="41" t="b">
        <v>0</v>
      </c>
    </row>
    <row r="58" spans="1:32" x14ac:dyDescent="0.15">
      <c r="A58" s="51" t="b">
        <v>1</v>
      </c>
      <c r="B58" s="51" t="b">
        <v>1</v>
      </c>
      <c r="C58" s="20" t="s">
        <v>52</v>
      </c>
      <c r="D58" s="22" t="s">
        <v>53</v>
      </c>
      <c r="E58" s="50" t="s">
        <v>137</v>
      </c>
      <c r="F58" s="19" t="s">
        <v>151</v>
      </c>
      <c r="G58" s="19" t="s">
        <v>138</v>
      </c>
      <c r="H58" s="31" t="s">
        <v>139</v>
      </c>
      <c r="I58" s="17">
        <v>4</v>
      </c>
      <c r="N58" s="17">
        <v>4</v>
      </c>
      <c r="O58" s="17">
        <v>4</v>
      </c>
      <c r="P58" s="17">
        <v>4</v>
      </c>
      <c r="Q58" s="39"/>
      <c r="R58" s="40"/>
      <c r="S58" s="40"/>
      <c r="T58" s="40"/>
      <c r="U58" s="40"/>
      <c r="V58" s="40"/>
      <c r="W58" s="40"/>
      <c r="X58" s="41"/>
      <c r="Y58" s="39" t="b">
        <v>0</v>
      </c>
      <c r="Z58" s="40" t="b">
        <v>1</v>
      </c>
      <c r="AA58" s="40" t="b">
        <v>1</v>
      </c>
      <c r="AB58" s="40" t="b">
        <v>1</v>
      </c>
      <c r="AC58" s="40" t="b">
        <v>1</v>
      </c>
      <c r="AD58" s="40" t="b">
        <v>0</v>
      </c>
      <c r="AE58" s="40" t="b">
        <v>0</v>
      </c>
      <c r="AF58" s="41" t="b">
        <v>0</v>
      </c>
    </row>
    <row r="59" spans="1:32" x14ac:dyDescent="0.15">
      <c r="A59" s="51" t="b">
        <v>1</v>
      </c>
      <c r="B59" s="51" t="b">
        <v>1</v>
      </c>
      <c r="C59" s="20" t="s">
        <v>54</v>
      </c>
      <c r="D59" s="22" t="s">
        <v>55</v>
      </c>
      <c r="E59" s="50" t="s">
        <v>137</v>
      </c>
      <c r="F59" s="19" t="s">
        <v>151</v>
      </c>
      <c r="G59" s="19" t="s">
        <v>138</v>
      </c>
      <c r="H59" s="31" t="s">
        <v>139</v>
      </c>
      <c r="O59" s="17">
        <v>4</v>
      </c>
      <c r="P59" s="17">
        <v>4</v>
      </c>
      <c r="Q59" s="39"/>
      <c r="R59" s="40"/>
      <c r="S59" s="40"/>
      <c r="T59" s="40"/>
      <c r="U59" s="40"/>
      <c r="V59" s="40"/>
      <c r="W59" s="40"/>
      <c r="X59" s="41"/>
      <c r="Y59" s="39" t="b">
        <v>1</v>
      </c>
      <c r="Z59" s="40" t="b">
        <v>1</v>
      </c>
      <c r="AA59" s="40" t="b">
        <v>1</v>
      </c>
      <c r="AB59" s="40" t="b">
        <v>1</v>
      </c>
      <c r="AC59" s="40" t="b">
        <v>1</v>
      </c>
      <c r="AD59" s="40" t="b">
        <v>1</v>
      </c>
      <c r="AE59" s="40" t="b">
        <v>0</v>
      </c>
      <c r="AF59" s="41" t="b">
        <v>0</v>
      </c>
    </row>
    <row r="60" spans="1:32" x14ac:dyDescent="0.15">
      <c r="A60" s="51" t="b">
        <v>1</v>
      </c>
      <c r="B60" s="51" t="b">
        <v>1</v>
      </c>
      <c r="C60" s="20" t="s">
        <v>56</v>
      </c>
      <c r="D60" s="22" t="s">
        <v>57</v>
      </c>
      <c r="E60" s="50" t="s">
        <v>137</v>
      </c>
      <c r="F60" s="19" t="s">
        <v>151</v>
      </c>
      <c r="G60" s="19" t="s">
        <v>138</v>
      </c>
      <c r="H60" s="31" t="s">
        <v>139</v>
      </c>
      <c r="I60" s="17">
        <v>4</v>
      </c>
      <c r="J60" s="17">
        <v>4</v>
      </c>
      <c r="K60" s="17">
        <v>4</v>
      </c>
      <c r="N60" s="17">
        <v>4</v>
      </c>
      <c r="O60" s="17">
        <v>4</v>
      </c>
      <c r="P60" s="17">
        <v>4</v>
      </c>
      <c r="Q60" s="39"/>
      <c r="R60" s="40"/>
      <c r="S60" s="40"/>
      <c r="T60" s="40"/>
      <c r="U60" s="40"/>
      <c r="V60" s="40"/>
      <c r="W60" s="40"/>
      <c r="X60" s="41"/>
      <c r="Y60" s="39" t="b">
        <v>0</v>
      </c>
      <c r="Z60" s="40" t="b">
        <v>0</v>
      </c>
      <c r="AA60" s="40" t="b">
        <v>0</v>
      </c>
      <c r="AB60" s="40" t="b">
        <v>1</v>
      </c>
      <c r="AC60" s="40" t="b">
        <v>1</v>
      </c>
      <c r="AD60" s="40" t="b">
        <v>0</v>
      </c>
      <c r="AE60" s="40" t="b">
        <v>0</v>
      </c>
      <c r="AF60" s="41" t="b">
        <v>0</v>
      </c>
    </row>
    <row r="61" spans="1:32" x14ac:dyDescent="0.15">
      <c r="A61" s="51" t="b">
        <v>1</v>
      </c>
      <c r="B61" s="51" t="b">
        <v>1</v>
      </c>
      <c r="C61" s="20" t="s">
        <v>58</v>
      </c>
      <c r="D61" s="22" t="s">
        <v>59</v>
      </c>
      <c r="E61" s="50" t="s">
        <v>137</v>
      </c>
      <c r="F61" s="19" t="s">
        <v>151</v>
      </c>
      <c r="G61" s="19" t="s">
        <v>138</v>
      </c>
      <c r="H61" s="31" t="s">
        <v>139</v>
      </c>
      <c r="I61" s="17">
        <v>4</v>
      </c>
      <c r="Q61" s="39"/>
      <c r="R61" s="40"/>
      <c r="S61" s="40"/>
      <c r="T61" s="40"/>
      <c r="U61" s="40"/>
      <c r="V61" s="40"/>
      <c r="W61" s="40"/>
      <c r="X61" s="41"/>
      <c r="Y61" s="39" t="b">
        <v>0</v>
      </c>
      <c r="Z61" s="40" t="b">
        <v>1</v>
      </c>
      <c r="AA61" s="40" t="b">
        <v>1</v>
      </c>
      <c r="AB61" s="40" t="b">
        <v>1</v>
      </c>
      <c r="AC61" s="40" t="b">
        <v>1</v>
      </c>
      <c r="AD61" s="40" t="b">
        <v>1</v>
      </c>
      <c r="AE61" s="40" t="b">
        <v>1</v>
      </c>
      <c r="AF61" s="41" t="b">
        <v>1</v>
      </c>
    </row>
    <row r="62" spans="1:32" x14ac:dyDescent="0.15">
      <c r="A62" s="51" t="b">
        <v>1</v>
      </c>
      <c r="B62" s="51" t="b">
        <v>1</v>
      </c>
      <c r="C62" s="20" t="s">
        <v>60</v>
      </c>
      <c r="D62" s="22" t="s">
        <v>61</v>
      </c>
      <c r="E62" s="50" t="s">
        <v>137</v>
      </c>
      <c r="F62" s="19" t="s">
        <v>151</v>
      </c>
      <c r="G62" s="19" t="s">
        <v>138</v>
      </c>
      <c r="H62" s="31" t="s">
        <v>139</v>
      </c>
      <c r="I62" s="17">
        <v>4</v>
      </c>
      <c r="J62" s="17">
        <v>4</v>
      </c>
      <c r="K62" s="17">
        <v>4</v>
      </c>
      <c r="L62" s="17">
        <v>4</v>
      </c>
      <c r="M62" s="17">
        <v>4</v>
      </c>
      <c r="N62" s="17">
        <v>4</v>
      </c>
      <c r="O62" s="17">
        <v>4</v>
      </c>
      <c r="Q62" s="39"/>
      <c r="R62" s="40"/>
      <c r="S62" s="40"/>
      <c r="T62" s="40"/>
      <c r="U62" s="40"/>
      <c r="V62" s="40"/>
      <c r="W62" s="40"/>
      <c r="X62" s="41"/>
      <c r="Y62" s="39" t="b">
        <v>0</v>
      </c>
      <c r="Z62" s="40" t="b">
        <v>0</v>
      </c>
      <c r="AA62" s="40" t="b">
        <v>0</v>
      </c>
      <c r="AB62" s="40" t="b">
        <v>0</v>
      </c>
      <c r="AC62" s="40" t="b">
        <v>0</v>
      </c>
      <c r="AD62" s="40" t="b">
        <v>0</v>
      </c>
      <c r="AE62" s="40" t="b">
        <v>0</v>
      </c>
      <c r="AF62" s="41" t="b">
        <v>1</v>
      </c>
    </row>
    <row r="63" spans="1:32" x14ac:dyDescent="0.15">
      <c r="A63" s="51" t="b">
        <v>1</v>
      </c>
      <c r="B63" s="51" t="b">
        <v>1</v>
      </c>
      <c r="C63" s="20" t="s">
        <v>62</v>
      </c>
      <c r="D63" s="22" t="s">
        <v>63</v>
      </c>
      <c r="E63" s="50" t="s">
        <v>137</v>
      </c>
      <c r="F63" s="19" t="s">
        <v>151</v>
      </c>
      <c r="G63" s="19" t="s">
        <v>138</v>
      </c>
      <c r="H63" s="31" t="s">
        <v>139</v>
      </c>
      <c r="I63" s="17">
        <v>4</v>
      </c>
      <c r="Q63" s="39"/>
      <c r="R63" s="40"/>
      <c r="S63" s="40"/>
      <c r="T63" s="40"/>
      <c r="U63" s="40"/>
      <c r="V63" s="40"/>
      <c r="W63" s="40"/>
      <c r="X63" s="41"/>
      <c r="Y63" s="39" t="b">
        <v>0</v>
      </c>
      <c r="Z63" s="40" t="b">
        <v>1</v>
      </c>
      <c r="AA63" s="40" t="b">
        <v>1</v>
      </c>
      <c r="AB63" s="40" t="b">
        <v>1</v>
      </c>
      <c r="AC63" s="40" t="b">
        <v>1</v>
      </c>
      <c r="AD63" s="40" t="b">
        <v>1</v>
      </c>
      <c r="AE63" s="40" t="b">
        <v>1</v>
      </c>
      <c r="AF63" s="41" t="b">
        <v>1</v>
      </c>
    </row>
    <row r="64" spans="1:32" x14ac:dyDescent="0.15">
      <c r="A64" s="51" t="b">
        <v>1</v>
      </c>
      <c r="B64" s="51" t="b">
        <v>1</v>
      </c>
      <c r="C64" s="20" t="s">
        <v>64</v>
      </c>
      <c r="D64" s="22" t="s">
        <v>65</v>
      </c>
      <c r="E64" s="50" t="s">
        <v>137</v>
      </c>
      <c r="F64" s="19" t="s">
        <v>151</v>
      </c>
      <c r="G64" s="19" t="s">
        <v>138</v>
      </c>
      <c r="H64" s="31" t="s">
        <v>139</v>
      </c>
      <c r="I64" s="17">
        <v>4</v>
      </c>
      <c r="J64" s="17">
        <v>4</v>
      </c>
      <c r="K64" s="17">
        <v>4</v>
      </c>
      <c r="L64" s="17">
        <v>4</v>
      </c>
      <c r="M64" s="17">
        <v>4</v>
      </c>
      <c r="N64" s="17">
        <v>4</v>
      </c>
      <c r="O64" s="17">
        <v>4</v>
      </c>
      <c r="Q64" s="39"/>
      <c r="R64" s="40"/>
      <c r="S64" s="40"/>
      <c r="T64" s="40"/>
      <c r="U64" s="40"/>
      <c r="V64" s="40"/>
      <c r="W64" s="40"/>
      <c r="X64" s="41"/>
      <c r="Y64" s="39" t="b">
        <v>0</v>
      </c>
      <c r="Z64" s="40" t="b">
        <v>0</v>
      </c>
      <c r="AA64" s="40" t="b">
        <v>0</v>
      </c>
      <c r="AB64" s="40" t="b">
        <v>0</v>
      </c>
      <c r="AC64" s="40" t="b">
        <v>0</v>
      </c>
      <c r="AD64" s="40" t="b">
        <v>0</v>
      </c>
      <c r="AE64" s="40" t="b">
        <v>0</v>
      </c>
      <c r="AF64" s="41" t="b">
        <v>1</v>
      </c>
    </row>
    <row r="65" spans="1:32" x14ac:dyDescent="0.15">
      <c r="A65" s="51" t="b">
        <v>1</v>
      </c>
      <c r="B65" s="51" t="b">
        <v>1</v>
      </c>
      <c r="C65" s="20" t="s">
        <v>66</v>
      </c>
      <c r="D65" s="21" t="s">
        <v>67</v>
      </c>
      <c r="E65" s="50" t="s">
        <v>137</v>
      </c>
      <c r="F65" s="19" t="s">
        <v>151</v>
      </c>
      <c r="G65" s="19" t="s">
        <v>138</v>
      </c>
      <c r="H65" s="31" t="s">
        <v>139</v>
      </c>
      <c r="I65" s="17">
        <v>4</v>
      </c>
      <c r="N65" s="17">
        <v>4</v>
      </c>
      <c r="O65" s="17">
        <v>4</v>
      </c>
      <c r="P65" s="17">
        <v>4</v>
      </c>
      <c r="Q65" s="39"/>
      <c r="R65" s="40"/>
      <c r="S65" s="40"/>
      <c r="T65" s="40"/>
      <c r="U65" s="40"/>
      <c r="V65" s="40"/>
      <c r="W65" s="40"/>
      <c r="X65" s="41"/>
      <c r="Y65" s="39" t="b">
        <v>0</v>
      </c>
      <c r="Z65" s="40" t="b">
        <v>1</v>
      </c>
      <c r="AA65" s="40" t="b">
        <v>1</v>
      </c>
      <c r="AB65" s="40" t="b">
        <v>1</v>
      </c>
      <c r="AC65" s="40" t="b">
        <v>1</v>
      </c>
      <c r="AD65" s="40" t="b">
        <v>0</v>
      </c>
      <c r="AE65" s="40" t="b">
        <v>0</v>
      </c>
      <c r="AF65" s="41" t="b">
        <v>0</v>
      </c>
    </row>
    <row r="66" spans="1:32" x14ac:dyDescent="0.15">
      <c r="A66" s="51" t="b">
        <v>0</v>
      </c>
      <c r="B66" s="51" t="b">
        <v>0</v>
      </c>
      <c r="C66" s="20" t="s">
        <v>169</v>
      </c>
      <c r="D66" s="21"/>
      <c r="E66" s="50" t="s">
        <v>137</v>
      </c>
      <c r="F66" s="19" t="s">
        <v>151</v>
      </c>
      <c r="G66" s="19" t="s">
        <v>138</v>
      </c>
      <c r="H66" s="31" t="s">
        <v>139</v>
      </c>
      <c r="Q66" s="39"/>
      <c r="R66" s="40"/>
      <c r="S66" s="40"/>
      <c r="T66" s="40"/>
      <c r="U66" s="40"/>
      <c r="V66" s="40"/>
      <c r="W66" s="40"/>
      <c r="X66" s="41"/>
      <c r="Y66" s="39" t="b">
        <v>1</v>
      </c>
      <c r="Z66" s="40" t="b">
        <v>1</v>
      </c>
      <c r="AA66" s="40" t="b">
        <v>1</v>
      </c>
      <c r="AB66" s="40" t="b">
        <v>1</v>
      </c>
      <c r="AC66" s="40" t="b">
        <v>1</v>
      </c>
      <c r="AD66" s="40" t="b">
        <v>1</v>
      </c>
      <c r="AE66" s="40" t="b">
        <v>1</v>
      </c>
      <c r="AF66" s="41" t="b">
        <v>1</v>
      </c>
    </row>
    <row r="67" spans="1:32" x14ac:dyDescent="0.15">
      <c r="A67" s="51" t="b">
        <v>0</v>
      </c>
      <c r="B67" s="51" t="b">
        <v>0</v>
      </c>
      <c r="C67" s="20" t="s">
        <v>170</v>
      </c>
      <c r="D67" s="21"/>
      <c r="E67" s="50" t="s">
        <v>137</v>
      </c>
      <c r="F67" s="19" t="s">
        <v>151</v>
      </c>
      <c r="G67" s="19" t="s">
        <v>138</v>
      </c>
      <c r="H67" s="31" t="s">
        <v>139</v>
      </c>
      <c r="Q67" s="39"/>
      <c r="R67" s="40"/>
      <c r="S67" s="40"/>
      <c r="T67" s="40"/>
      <c r="U67" s="40"/>
      <c r="V67" s="40"/>
      <c r="W67" s="40"/>
      <c r="X67" s="41"/>
      <c r="Y67" s="39" t="b">
        <v>1</v>
      </c>
      <c r="Z67" s="40" t="b">
        <v>1</v>
      </c>
      <c r="AA67" s="40" t="b">
        <v>1</v>
      </c>
      <c r="AB67" s="40" t="b">
        <v>1</v>
      </c>
      <c r="AC67" s="40" t="b">
        <v>1</v>
      </c>
      <c r="AD67" s="40" t="b">
        <v>1</v>
      </c>
      <c r="AE67" s="40" t="b">
        <v>1</v>
      </c>
      <c r="AF67" s="41" t="b">
        <v>1</v>
      </c>
    </row>
    <row r="68" spans="1:32" x14ac:dyDescent="0.15">
      <c r="A68" s="51" t="b">
        <v>0</v>
      </c>
      <c r="B68" s="51" t="b">
        <v>0</v>
      </c>
      <c r="C68" s="20" t="s">
        <v>171</v>
      </c>
      <c r="D68" s="21"/>
      <c r="E68" s="50" t="s">
        <v>137</v>
      </c>
      <c r="F68" s="19" t="s">
        <v>151</v>
      </c>
      <c r="G68" s="19" t="s">
        <v>138</v>
      </c>
      <c r="H68" s="31" t="s">
        <v>139</v>
      </c>
      <c r="Q68" s="39"/>
      <c r="R68" s="40"/>
      <c r="S68" s="40"/>
      <c r="T68" s="40"/>
      <c r="U68" s="40"/>
      <c r="V68" s="40"/>
      <c r="W68" s="40"/>
      <c r="X68" s="41"/>
      <c r="Y68" s="39" t="b">
        <v>1</v>
      </c>
      <c r="Z68" s="40" t="b">
        <v>1</v>
      </c>
      <c r="AA68" s="40" t="b">
        <v>1</v>
      </c>
      <c r="AB68" s="40" t="b">
        <v>1</v>
      </c>
      <c r="AC68" s="40" t="b">
        <v>1</v>
      </c>
      <c r="AD68" s="40" t="b">
        <v>1</v>
      </c>
      <c r="AE68" s="40" t="b">
        <v>1</v>
      </c>
      <c r="AF68" s="41" t="b">
        <v>1</v>
      </c>
    </row>
    <row r="69" spans="1:32" x14ac:dyDescent="0.15">
      <c r="A69" s="51" t="b">
        <v>0</v>
      </c>
      <c r="B69" s="51" t="b">
        <v>0</v>
      </c>
      <c r="C69" s="20" t="s">
        <v>172</v>
      </c>
      <c r="D69" s="21"/>
      <c r="E69" s="50" t="s">
        <v>137</v>
      </c>
      <c r="F69" s="19" t="s">
        <v>151</v>
      </c>
      <c r="G69" s="19" t="s">
        <v>138</v>
      </c>
      <c r="H69" s="31" t="s">
        <v>139</v>
      </c>
      <c r="Q69" s="39"/>
      <c r="R69" s="40"/>
      <c r="S69" s="40"/>
      <c r="T69" s="40"/>
      <c r="U69" s="40"/>
      <c r="V69" s="40"/>
      <c r="W69" s="40"/>
      <c r="X69" s="41"/>
      <c r="Y69" s="39" t="b">
        <v>1</v>
      </c>
      <c r="Z69" s="40" t="b">
        <v>1</v>
      </c>
      <c r="AA69" s="40" t="b">
        <v>1</v>
      </c>
      <c r="AB69" s="40" t="b">
        <v>1</v>
      </c>
      <c r="AC69" s="40" t="b">
        <v>1</v>
      </c>
      <c r="AD69" s="40" t="b">
        <v>1</v>
      </c>
      <c r="AE69" s="40" t="b">
        <v>1</v>
      </c>
      <c r="AF69" s="41" t="b">
        <v>1</v>
      </c>
    </row>
    <row r="70" spans="1:32" x14ac:dyDescent="0.15">
      <c r="A70" s="51" t="b">
        <v>0</v>
      </c>
      <c r="B70" s="51" t="b">
        <v>0</v>
      </c>
      <c r="C70" s="20" t="s">
        <v>173</v>
      </c>
      <c r="D70" s="21"/>
      <c r="E70" s="50" t="s">
        <v>137</v>
      </c>
      <c r="F70" s="19" t="s">
        <v>151</v>
      </c>
      <c r="G70" s="19" t="s">
        <v>138</v>
      </c>
      <c r="H70" s="31" t="s">
        <v>139</v>
      </c>
      <c r="Q70" s="39"/>
      <c r="R70" s="40"/>
      <c r="S70" s="40"/>
      <c r="T70" s="40"/>
      <c r="U70" s="40"/>
      <c r="V70" s="40"/>
      <c r="W70" s="40"/>
      <c r="X70" s="41"/>
      <c r="Y70" s="39" t="b">
        <v>1</v>
      </c>
      <c r="Z70" s="40" t="b">
        <v>1</v>
      </c>
      <c r="AA70" s="40" t="b">
        <v>1</v>
      </c>
      <c r="AB70" s="40" t="b">
        <v>1</v>
      </c>
      <c r="AC70" s="40" t="b">
        <v>1</v>
      </c>
      <c r="AD70" s="40" t="b">
        <v>1</v>
      </c>
      <c r="AE70" s="40" t="b">
        <v>1</v>
      </c>
      <c r="AF70" s="41" t="b">
        <v>1</v>
      </c>
    </row>
    <row r="71" spans="1:32" x14ac:dyDescent="0.15">
      <c r="A71" s="51" t="b">
        <v>0</v>
      </c>
      <c r="B71" s="51" t="b">
        <v>0</v>
      </c>
      <c r="C71" s="20" t="s">
        <v>174</v>
      </c>
      <c r="D71" s="21"/>
      <c r="E71" s="50" t="s">
        <v>137</v>
      </c>
      <c r="F71" s="19" t="s">
        <v>151</v>
      </c>
      <c r="G71" s="19" t="s">
        <v>138</v>
      </c>
      <c r="H71" s="31" t="s">
        <v>139</v>
      </c>
      <c r="Q71" s="39"/>
      <c r="R71" s="40"/>
      <c r="S71" s="40"/>
      <c r="T71" s="40"/>
      <c r="U71" s="40"/>
      <c r="V71" s="40"/>
      <c r="W71" s="40"/>
      <c r="X71" s="41"/>
      <c r="Y71" s="39" t="b">
        <v>1</v>
      </c>
      <c r="Z71" s="40" t="b">
        <v>1</v>
      </c>
      <c r="AA71" s="40" t="b">
        <v>1</v>
      </c>
      <c r="AB71" s="40" t="b">
        <v>1</v>
      </c>
      <c r="AC71" s="40" t="b">
        <v>1</v>
      </c>
      <c r="AD71" s="40" t="b">
        <v>1</v>
      </c>
      <c r="AE71" s="40" t="b">
        <v>1</v>
      </c>
      <c r="AF71" s="41" t="b">
        <v>1</v>
      </c>
    </row>
    <row r="72" spans="1:32" x14ac:dyDescent="0.15">
      <c r="A72" s="51" t="b">
        <v>0</v>
      </c>
      <c r="B72" s="51" t="b">
        <v>0</v>
      </c>
      <c r="C72" s="20" t="s">
        <v>175</v>
      </c>
      <c r="D72" s="21"/>
      <c r="E72" s="50" t="s">
        <v>137</v>
      </c>
      <c r="F72" s="19" t="s">
        <v>151</v>
      </c>
      <c r="G72" s="19" t="s">
        <v>138</v>
      </c>
      <c r="H72" s="31" t="s">
        <v>139</v>
      </c>
      <c r="Q72" s="39"/>
      <c r="R72" s="40"/>
      <c r="S72" s="40"/>
      <c r="T72" s="40"/>
      <c r="U72" s="40"/>
      <c r="V72" s="40"/>
      <c r="W72" s="40"/>
      <c r="X72" s="41"/>
      <c r="Y72" s="39" t="b">
        <v>1</v>
      </c>
      <c r="Z72" s="40" t="b">
        <v>1</v>
      </c>
      <c r="AA72" s="40" t="b">
        <v>1</v>
      </c>
      <c r="AB72" s="40" t="b">
        <v>1</v>
      </c>
      <c r="AC72" s="40" t="b">
        <v>1</v>
      </c>
      <c r="AD72" s="40" t="b">
        <v>1</v>
      </c>
      <c r="AE72" s="40" t="b">
        <v>1</v>
      </c>
      <c r="AF72" s="41" t="b">
        <v>1</v>
      </c>
    </row>
    <row r="73" spans="1:32" x14ac:dyDescent="0.15">
      <c r="A73" s="51" t="b">
        <v>0</v>
      </c>
      <c r="B73" s="51" t="b">
        <v>0</v>
      </c>
      <c r="C73" s="20" t="s">
        <v>176</v>
      </c>
      <c r="D73" s="21"/>
      <c r="E73" s="50" t="s">
        <v>137</v>
      </c>
      <c r="F73" s="19" t="s">
        <v>151</v>
      </c>
      <c r="G73" s="19" t="s">
        <v>138</v>
      </c>
      <c r="H73" s="31" t="s">
        <v>139</v>
      </c>
      <c r="Q73" s="39"/>
      <c r="R73" s="40"/>
      <c r="S73" s="40"/>
      <c r="T73" s="40"/>
      <c r="U73" s="40"/>
      <c r="V73" s="40"/>
      <c r="W73" s="40"/>
      <c r="X73" s="41"/>
      <c r="Y73" s="39" t="b">
        <v>1</v>
      </c>
      <c r="Z73" s="40" t="b">
        <v>1</v>
      </c>
      <c r="AA73" s="40" t="b">
        <v>1</v>
      </c>
      <c r="AB73" s="40" t="b">
        <v>1</v>
      </c>
      <c r="AC73" s="40" t="b">
        <v>1</v>
      </c>
      <c r="AD73" s="40" t="b">
        <v>1</v>
      </c>
      <c r="AE73" s="40" t="b">
        <v>1</v>
      </c>
      <c r="AF73" s="41" t="b">
        <v>1</v>
      </c>
    </row>
    <row r="74" spans="1:32" s="299" customFormat="1" x14ac:dyDescent="0.15">
      <c r="A74" s="294" t="b">
        <f>IF(COUNTIFS(A54:A73,FALSE)=0,FALSE,TRUE)</f>
        <v>1</v>
      </c>
      <c r="B74" s="294" t="b">
        <f>IF(COUNTIFS(B54:B73,FALSE)=0,FALSE,TRUE)</f>
        <v>1</v>
      </c>
      <c r="C74" s="295"/>
      <c r="D74" s="296" t="s">
        <v>153</v>
      </c>
      <c r="E74" s="312"/>
      <c r="F74" s="313"/>
      <c r="G74" s="313"/>
      <c r="H74" s="314"/>
      <c r="Q74" s="300"/>
      <c r="R74" s="301"/>
      <c r="S74" s="301"/>
      <c r="T74" s="301"/>
      <c r="U74" s="301"/>
      <c r="V74" s="301"/>
      <c r="W74" s="301"/>
      <c r="X74" s="302"/>
      <c r="Y74" s="300" t="b">
        <v>1</v>
      </c>
      <c r="Z74" s="301" t="b">
        <v>1</v>
      </c>
      <c r="AA74" s="301" t="b">
        <v>1</v>
      </c>
      <c r="AB74" s="301" t="b">
        <v>1</v>
      </c>
      <c r="AC74" s="301" t="b">
        <v>1</v>
      </c>
      <c r="AD74" s="301" t="b">
        <v>1</v>
      </c>
      <c r="AE74" s="301" t="b">
        <v>1</v>
      </c>
      <c r="AF74" s="302" t="b">
        <v>1</v>
      </c>
    </row>
    <row r="75" spans="1:32" s="321" customFormat="1" x14ac:dyDescent="0.15">
      <c r="A75" s="322"/>
      <c r="B75" s="322"/>
      <c r="C75" s="323"/>
      <c r="D75" s="324"/>
      <c r="E75" s="329"/>
      <c r="F75" s="330"/>
      <c r="G75" s="330"/>
      <c r="H75" s="331"/>
      <c r="Q75" s="327"/>
      <c r="R75" s="317"/>
      <c r="S75" s="317"/>
      <c r="T75" s="317"/>
      <c r="U75" s="317"/>
      <c r="V75" s="317"/>
      <c r="W75" s="317"/>
      <c r="X75" s="328"/>
      <c r="Y75" s="327" t="b">
        <v>1</v>
      </c>
      <c r="Z75" s="317" t="b">
        <v>1</v>
      </c>
      <c r="AA75" s="317" t="b">
        <v>1</v>
      </c>
      <c r="AB75" s="317" t="b">
        <v>1</v>
      </c>
      <c r="AC75" s="317" t="b">
        <v>1</v>
      </c>
      <c r="AD75" s="317" t="b">
        <v>1</v>
      </c>
      <c r="AE75" s="317" t="b">
        <v>1</v>
      </c>
      <c r="AF75" s="328" t="b">
        <v>1</v>
      </c>
    </row>
    <row r="76" spans="1:32" x14ac:dyDescent="0.15">
      <c r="A76" s="45" t="b">
        <v>1</v>
      </c>
      <c r="B76" s="45" t="b">
        <v>1</v>
      </c>
      <c r="C76" s="27" t="s">
        <v>68</v>
      </c>
      <c r="D76" s="48" t="s">
        <v>69</v>
      </c>
      <c r="E76" s="49" t="s">
        <v>137</v>
      </c>
      <c r="F76" s="29" t="s">
        <v>151</v>
      </c>
      <c r="G76" s="29" t="s">
        <v>138</v>
      </c>
      <c r="H76" s="30" t="s">
        <v>139</v>
      </c>
      <c r="I76" s="37"/>
      <c r="J76" s="37"/>
      <c r="K76" s="37"/>
      <c r="L76" s="37"/>
      <c r="M76" s="37"/>
      <c r="N76" s="37"/>
      <c r="O76" s="37"/>
      <c r="P76" s="37">
        <v>4</v>
      </c>
      <c r="Q76" s="36"/>
      <c r="R76" s="37"/>
      <c r="S76" s="37"/>
      <c r="T76" s="37"/>
      <c r="U76" s="37"/>
      <c r="V76" s="37"/>
      <c r="W76" s="37"/>
      <c r="X76" s="38"/>
      <c r="Y76" s="36" t="b">
        <v>1</v>
      </c>
      <c r="Z76" s="37" t="b">
        <v>1</v>
      </c>
      <c r="AA76" s="37" t="b">
        <v>1</v>
      </c>
      <c r="AB76" s="37" t="b">
        <v>1</v>
      </c>
      <c r="AC76" s="37" t="b">
        <v>1</v>
      </c>
      <c r="AD76" s="37" t="b">
        <v>1</v>
      </c>
      <c r="AE76" s="37" t="b">
        <v>1</v>
      </c>
      <c r="AF76" s="38" t="b">
        <v>0</v>
      </c>
    </row>
    <row r="77" spans="1:32" x14ac:dyDescent="0.15">
      <c r="A77" s="51" t="b">
        <v>1</v>
      </c>
      <c r="B77" s="51" t="b">
        <v>1</v>
      </c>
      <c r="C77" s="20" t="s">
        <v>70</v>
      </c>
      <c r="D77" s="22" t="s">
        <v>71</v>
      </c>
      <c r="E77" s="50" t="s">
        <v>137</v>
      </c>
      <c r="F77" s="19" t="s">
        <v>151</v>
      </c>
      <c r="G77" s="19" t="s">
        <v>138</v>
      </c>
      <c r="H77" s="31" t="s">
        <v>139</v>
      </c>
      <c r="I77" s="40"/>
      <c r="J77" s="40"/>
      <c r="K77" s="40"/>
      <c r="L77" s="40"/>
      <c r="M77" s="40"/>
      <c r="N77" s="40">
        <v>4</v>
      </c>
      <c r="O77" s="40">
        <v>4</v>
      </c>
      <c r="P77" s="40">
        <v>4</v>
      </c>
      <c r="Q77" s="39"/>
      <c r="R77" s="40"/>
      <c r="S77" s="40"/>
      <c r="T77" s="40"/>
      <c r="U77" s="40"/>
      <c r="V77" s="40"/>
      <c r="W77" s="40"/>
      <c r="X77" s="41"/>
      <c r="Y77" s="39" t="b">
        <v>1</v>
      </c>
      <c r="Z77" s="40" t="b">
        <v>1</v>
      </c>
      <c r="AA77" s="40" t="b">
        <v>1</v>
      </c>
      <c r="AB77" s="40" t="b">
        <v>1</v>
      </c>
      <c r="AC77" s="40" t="b">
        <v>1</v>
      </c>
      <c r="AD77" s="40" t="b">
        <v>0</v>
      </c>
      <c r="AE77" s="40" t="b">
        <v>0</v>
      </c>
      <c r="AF77" s="41" t="b">
        <v>0</v>
      </c>
    </row>
    <row r="78" spans="1:32" x14ac:dyDescent="0.15">
      <c r="A78" s="51" t="b">
        <v>1</v>
      </c>
      <c r="B78" s="51" t="b">
        <v>1</v>
      </c>
      <c r="C78" s="20" t="s">
        <v>72</v>
      </c>
      <c r="D78" s="22" t="s">
        <v>73</v>
      </c>
      <c r="E78" s="50" t="s">
        <v>137</v>
      </c>
      <c r="F78" s="19" t="s">
        <v>151</v>
      </c>
      <c r="G78" s="19" t="s">
        <v>138</v>
      </c>
      <c r="H78" s="31" t="s">
        <v>139</v>
      </c>
      <c r="I78" s="40"/>
      <c r="J78" s="40"/>
      <c r="K78" s="40"/>
      <c r="L78" s="40"/>
      <c r="M78" s="40"/>
      <c r="N78" s="40"/>
      <c r="O78" s="40">
        <v>4</v>
      </c>
      <c r="P78" s="40">
        <v>4</v>
      </c>
      <c r="Q78" s="39"/>
      <c r="R78" s="40"/>
      <c r="S78" s="40"/>
      <c r="T78" s="40"/>
      <c r="U78" s="40"/>
      <c r="V78" s="40"/>
      <c r="W78" s="40"/>
      <c r="X78" s="41"/>
      <c r="Y78" s="39" t="b">
        <v>1</v>
      </c>
      <c r="Z78" s="40" t="b">
        <v>1</v>
      </c>
      <c r="AA78" s="40" t="b">
        <v>1</v>
      </c>
      <c r="AB78" s="40" t="b">
        <v>1</v>
      </c>
      <c r="AC78" s="40" t="b">
        <v>1</v>
      </c>
      <c r="AD78" s="40" t="b">
        <v>1</v>
      </c>
      <c r="AE78" s="40" t="b">
        <v>0</v>
      </c>
      <c r="AF78" s="41" t="b">
        <v>0</v>
      </c>
    </row>
    <row r="79" spans="1:32" x14ac:dyDescent="0.15">
      <c r="A79" s="51" t="b">
        <v>1</v>
      </c>
      <c r="B79" s="51" t="b">
        <v>1</v>
      </c>
      <c r="C79" s="20" t="s">
        <v>74</v>
      </c>
      <c r="D79" s="22" t="s">
        <v>226</v>
      </c>
      <c r="E79" s="50" t="s">
        <v>137</v>
      </c>
      <c r="F79" s="19" t="s">
        <v>151</v>
      </c>
      <c r="G79" s="19" t="s">
        <v>138</v>
      </c>
      <c r="H79" s="31" t="s">
        <v>139</v>
      </c>
      <c r="I79" s="40">
        <v>4</v>
      </c>
      <c r="J79" s="40">
        <v>4</v>
      </c>
      <c r="K79" s="40">
        <v>4</v>
      </c>
      <c r="L79" s="40"/>
      <c r="M79" s="40"/>
      <c r="N79" s="40"/>
      <c r="O79" s="40"/>
      <c r="P79" s="40">
        <v>4</v>
      </c>
      <c r="Q79" s="39"/>
      <c r="R79" s="40"/>
      <c r="S79" s="40"/>
      <c r="T79" s="40"/>
      <c r="U79" s="40"/>
      <c r="V79" s="40"/>
      <c r="W79" s="40"/>
      <c r="X79" s="41"/>
      <c r="Y79" s="39" t="b">
        <v>0</v>
      </c>
      <c r="Z79" s="40" t="b">
        <v>0</v>
      </c>
      <c r="AA79" s="40" t="b">
        <v>0</v>
      </c>
      <c r="AB79" s="40" t="b">
        <v>1</v>
      </c>
      <c r="AC79" s="40" t="b">
        <v>1</v>
      </c>
      <c r="AD79" s="40" t="b">
        <v>1</v>
      </c>
      <c r="AE79" s="40" t="b">
        <v>1</v>
      </c>
      <c r="AF79" s="41" t="b">
        <v>0</v>
      </c>
    </row>
    <row r="80" spans="1:32" x14ac:dyDescent="0.15">
      <c r="A80" s="51" t="b">
        <v>1</v>
      </c>
      <c r="B80" s="51" t="b">
        <v>1</v>
      </c>
      <c r="C80" s="20" t="s">
        <v>75</v>
      </c>
      <c r="D80" s="21" t="s">
        <v>227</v>
      </c>
      <c r="E80" s="50" t="s">
        <v>137</v>
      </c>
      <c r="F80" s="19" t="s">
        <v>151</v>
      </c>
      <c r="G80" s="19" t="s">
        <v>138</v>
      </c>
      <c r="H80" s="31" t="s">
        <v>139</v>
      </c>
      <c r="I80" s="40"/>
      <c r="J80" s="40"/>
      <c r="K80" s="40"/>
      <c r="L80" s="40"/>
      <c r="M80" s="40"/>
      <c r="N80" s="40"/>
      <c r="O80" s="40"/>
      <c r="P80" s="40">
        <v>4</v>
      </c>
      <c r="Q80" s="39"/>
      <c r="R80" s="40"/>
      <c r="S80" s="40"/>
      <c r="T80" s="40"/>
      <c r="U80" s="40"/>
      <c r="V80" s="40"/>
      <c r="W80" s="40"/>
      <c r="X80" s="41"/>
      <c r="Y80" s="39" t="b">
        <v>1</v>
      </c>
      <c r="Z80" s="40" t="b">
        <v>1</v>
      </c>
      <c r="AA80" s="40" t="b">
        <v>1</v>
      </c>
      <c r="AB80" s="40" t="b">
        <v>1</v>
      </c>
      <c r="AC80" s="40" t="b">
        <v>1</v>
      </c>
      <c r="AD80" s="40" t="b">
        <v>1</v>
      </c>
      <c r="AE80" s="40" t="b">
        <v>1</v>
      </c>
      <c r="AF80" s="41" t="b">
        <v>0</v>
      </c>
    </row>
    <row r="81" spans="1:32" x14ac:dyDescent="0.15">
      <c r="A81" s="51" t="b">
        <v>1</v>
      </c>
      <c r="B81" s="51" t="b">
        <v>1</v>
      </c>
      <c r="C81" s="20" t="s">
        <v>76</v>
      </c>
      <c r="D81" s="21" t="s">
        <v>77</v>
      </c>
      <c r="E81" s="50" t="s">
        <v>137</v>
      </c>
      <c r="F81" s="19" t="s">
        <v>151</v>
      </c>
      <c r="G81" s="19" t="s">
        <v>138</v>
      </c>
      <c r="H81" s="31" t="s">
        <v>139</v>
      </c>
      <c r="I81" s="40"/>
      <c r="J81" s="40"/>
      <c r="K81" s="40"/>
      <c r="L81" s="40"/>
      <c r="M81" s="40"/>
      <c r="N81" s="40"/>
      <c r="O81" s="40"/>
      <c r="P81" s="40">
        <v>4</v>
      </c>
      <c r="Q81" s="39"/>
      <c r="R81" s="40"/>
      <c r="S81" s="40"/>
      <c r="T81" s="40"/>
      <c r="U81" s="40"/>
      <c r="V81" s="40"/>
      <c r="W81" s="40"/>
      <c r="X81" s="41"/>
      <c r="Y81" s="39" t="b">
        <v>1</v>
      </c>
      <c r="Z81" s="40" t="b">
        <v>1</v>
      </c>
      <c r="AA81" s="40" t="b">
        <v>1</v>
      </c>
      <c r="AB81" s="40" t="b">
        <v>1</v>
      </c>
      <c r="AC81" s="40" t="b">
        <v>1</v>
      </c>
      <c r="AD81" s="40" t="b">
        <v>1</v>
      </c>
      <c r="AE81" s="40" t="b">
        <v>1</v>
      </c>
      <c r="AF81" s="41" t="b">
        <v>0</v>
      </c>
    </row>
    <row r="82" spans="1:32" x14ac:dyDescent="0.15">
      <c r="A82" s="51" t="b">
        <v>1</v>
      </c>
      <c r="B82" s="51" t="b">
        <v>1</v>
      </c>
      <c r="C82" s="20" t="s">
        <v>78</v>
      </c>
      <c r="D82" s="21" t="s">
        <v>228</v>
      </c>
      <c r="E82" s="50" t="s">
        <v>137</v>
      </c>
      <c r="F82" s="19" t="s">
        <v>151</v>
      </c>
      <c r="G82" s="19" t="s">
        <v>138</v>
      </c>
      <c r="H82" s="31" t="s">
        <v>139</v>
      </c>
      <c r="I82" s="40"/>
      <c r="J82" s="40"/>
      <c r="K82" s="40"/>
      <c r="L82" s="40"/>
      <c r="M82" s="40"/>
      <c r="N82" s="40"/>
      <c r="O82" s="40"/>
      <c r="P82" s="40">
        <v>4</v>
      </c>
      <c r="Q82" s="39"/>
      <c r="R82" s="40"/>
      <c r="S82" s="40"/>
      <c r="T82" s="40"/>
      <c r="U82" s="40"/>
      <c r="V82" s="40"/>
      <c r="W82" s="40"/>
      <c r="X82" s="41"/>
      <c r="Y82" s="39" t="b">
        <v>1</v>
      </c>
      <c r="Z82" s="40" t="b">
        <v>1</v>
      </c>
      <c r="AA82" s="40" t="b">
        <v>1</v>
      </c>
      <c r="AB82" s="40" t="b">
        <v>1</v>
      </c>
      <c r="AC82" s="40" t="b">
        <v>1</v>
      </c>
      <c r="AD82" s="40" t="b">
        <v>1</v>
      </c>
      <c r="AE82" s="40" t="b">
        <v>1</v>
      </c>
      <c r="AF82" s="41" t="b">
        <v>0</v>
      </c>
    </row>
    <row r="83" spans="1:32" x14ac:dyDescent="0.15">
      <c r="A83" s="51" t="b">
        <v>1</v>
      </c>
      <c r="B83" s="51" t="b">
        <v>1</v>
      </c>
      <c r="C83" s="20" t="s">
        <v>79</v>
      </c>
      <c r="D83" s="21" t="s">
        <v>80</v>
      </c>
      <c r="E83" s="50" t="s">
        <v>137</v>
      </c>
      <c r="F83" s="19" t="s">
        <v>151</v>
      </c>
      <c r="G83" s="19" t="s">
        <v>138</v>
      </c>
      <c r="H83" s="31" t="s">
        <v>139</v>
      </c>
      <c r="I83" s="40"/>
      <c r="J83" s="40"/>
      <c r="K83" s="40"/>
      <c r="L83" s="40"/>
      <c r="M83" s="40"/>
      <c r="N83" s="40">
        <v>4</v>
      </c>
      <c r="O83" s="40">
        <v>4</v>
      </c>
      <c r="P83" s="40">
        <v>4</v>
      </c>
      <c r="Q83" s="39"/>
      <c r="R83" s="40"/>
      <c r="S83" s="40"/>
      <c r="T83" s="40"/>
      <c r="U83" s="40"/>
      <c r="V83" s="40"/>
      <c r="W83" s="40"/>
      <c r="X83" s="41"/>
      <c r="Y83" s="39" t="b">
        <v>1</v>
      </c>
      <c r="Z83" s="40" t="b">
        <v>1</v>
      </c>
      <c r="AA83" s="40" t="b">
        <v>1</v>
      </c>
      <c r="AB83" s="40" t="b">
        <v>1</v>
      </c>
      <c r="AC83" s="40" t="b">
        <v>1</v>
      </c>
      <c r="AD83" s="40" t="b">
        <v>0</v>
      </c>
      <c r="AE83" s="40" t="b">
        <v>0</v>
      </c>
      <c r="AF83" s="41" t="b">
        <v>0</v>
      </c>
    </row>
    <row r="84" spans="1:32" x14ac:dyDescent="0.15">
      <c r="A84" s="51" t="b">
        <v>1</v>
      </c>
      <c r="B84" s="51" t="b">
        <v>1</v>
      </c>
      <c r="C84" s="20" t="s">
        <v>81</v>
      </c>
      <c r="D84" s="21" t="s">
        <v>82</v>
      </c>
      <c r="E84" s="50" t="s">
        <v>137</v>
      </c>
      <c r="F84" s="19" t="s">
        <v>151</v>
      </c>
      <c r="G84" s="19" t="s">
        <v>138</v>
      </c>
      <c r="H84" s="31" t="s">
        <v>139</v>
      </c>
      <c r="I84" s="40"/>
      <c r="J84" s="40"/>
      <c r="K84" s="40"/>
      <c r="L84" s="40"/>
      <c r="M84" s="40"/>
      <c r="N84" s="40"/>
      <c r="O84" s="40">
        <v>4</v>
      </c>
      <c r="P84" s="40">
        <v>4</v>
      </c>
      <c r="Q84" s="39"/>
      <c r="R84" s="40"/>
      <c r="S84" s="40"/>
      <c r="T84" s="40"/>
      <c r="U84" s="40"/>
      <c r="V84" s="40"/>
      <c r="W84" s="40"/>
      <c r="X84" s="41"/>
      <c r="Y84" s="39" t="b">
        <v>1</v>
      </c>
      <c r="Z84" s="40" t="b">
        <v>1</v>
      </c>
      <c r="AA84" s="40" t="b">
        <v>1</v>
      </c>
      <c r="AB84" s="40" t="b">
        <v>1</v>
      </c>
      <c r="AC84" s="40" t="b">
        <v>1</v>
      </c>
      <c r="AD84" s="40" t="b">
        <v>1</v>
      </c>
      <c r="AE84" s="40" t="b">
        <v>0</v>
      </c>
      <c r="AF84" s="41" t="b">
        <v>0</v>
      </c>
    </row>
    <row r="85" spans="1:32" x14ac:dyDescent="0.15">
      <c r="A85" s="51" t="b">
        <v>0</v>
      </c>
      <c r="B85" s="51" t="b">
        <v>0</v>
      </c>
      <c r="C85" s="20" t="s">
        <v>83</v>
      </c>
      <c r="D85" s="21"/>
      <c r="E85" s="50" t="s">
        <v>137</v>
      </c>
      <c r="F85" s="19" t="s">
        <v>151</v>
      </c>
      <c r="G85" s="19" t="s">
        <v>138</v>
      </c>
      <c r="H85" s="31" t="s">
        <v>139</v>
      </c>
      <c r="I85" s="40"/>
      <c r="J85" s="40"/>
      <c r="K85" s="40"/>
      <c r="L85" s="40"/>
      <c r="M85" s="40"/>
      <c r="N85" s="40"/>
      <c r="O85" s="40"/>
      <c r="P85" s="40"/>
      <c r="Q85" s="39"/>
      <c r="R85" s="40"/>
      <c r="S85" s="40"/>
      <c r="T85" s="40"/>
      <c r="U85" s="40"/>
      <c r="V85" s="40"/>
      <c r="W85" s="40"/>
      <c r="X85" s="41"/>
      <c r="Y85" s="39" t="b">
        <v>1</v>
      </c>
      <c r="Z85" s="40" t="b">
        <v>1</v>
      </c>
      <c r="AA85" s="40" t="b">
        <v>1</v>
      </c>
      <c r="AB85" s="40" t="b">
        <v>1</v>
      </c>
      <c r="AC85" s="40" t="b">
        <v>1</v>
      </c>
      <c r="AD85" s="40" t="b">
        <v>1</v>
      </c>
      <c r="AE85" s="40" t="b">
        <v>1</v>
      </c>
      <c r="AF85" s="41" t="b">
        <v>1</v>
      </c>
    </row>
    <row r="86" spans="1:32" x14ac:dyDescent="0.15">
      <c r="A86" s="51" t="b">
        <v>0</v>
      </c>
      <c r="B86" s="51" t="b">
        <v>0</v>
      </c>
      <c r="C86" s="20" t="s">
        <v>84</v>
      </c>
      <c r="D86" s="21"/>
      <c r="E86" s="50" t="s">
        <v>137</v>
      </c>
      <c r="F86" s="19" t="s">
        <v>151</v>
      </c>
      <c r="G86" s="19" t="s">
        <v>138</v>
      </c>
      <c r="H86" s="31" t="s">
        <v>139</v>
      </c>
      <c r="I86" s="40"/>
      <c r="J86" s="40"/>
      <c r="K86" s="40"/>
      <c r="L86" s="40"/>
      <c r="M86" s="40"/>
      <c r="N86" s="40"/>
      <c r="O86" s="40"/>
      <c r="P86" s="40"/>
      <c r="Q86" s="39"/>
      <c r="R86" s="40"/>
      <c r="S86" s="40"/>
      <c r="T86" s="40"/>
      <c r="U86" s="40"/>
      <c r="V86" s="40"/>
      <c r="W86" s="40"/>
      <c r="X86" s="41"/>
      <c r="Y86" s="39" t="b">
        <v>1</v>
      </c>
      <c r="Z86" s="40" t="b">
        <v>1</v>
      </c>
      <c r="AA86" s="40" t="b">
        <v>1</v>
      </c>
      <c r="AB86" s="40" t="b">
        <v>1</v>
      </c>
      <c r="AC86" s="40" t="b">
        <v>1</v>
      </c>
      <c r="AD86" s="40" t="b">
        <v>1</v>
      </c>
      <c r="AE86" s="40" t="b">
        <v>1</v>
      </c>
      <c r="AF86" s="41" t="b">
        <v>1</v>
      </c>
    </row>
    <row r="87" spans="1:32" x14ac:dyDescent="0.15">
      <c r="A87" s="51" t="b">
        <v>0</v>
      </c>
      <c r="B87" s="51" t="b">
        <v>0</v>
      </c>
      <c r="C87" s="20" t="s">
        <v>85</v>
      </c>
      <c r="D87" s="23"/>
      <c r="E87" s="50" t="s">
        <v>137</v>
      </c>
      <c r="F87" s="19" t="s">
        <v>151</v>
      </c>
      <c r="G87" s="19" t="s">
        <v>138</v>
      </c>
      <c r="H87" s="31" t="s">
        <v>139</v>
      </c>
      <c r="I87" s="40"/>
      <c r="J87" s="40"/>
      <c r="K87" s="40"/>
      <c r="L87" s="40"/>
      <c r="M87" s="40"/>
      <c r="N87" s="40"/>
      <c r="O87" s="40"/>
      <c r="P87" s="40"/>
      <c r="Q87" s="39"/>
      <c r="R87" s="40"/>
      <c r="S87" s="40"/>
      <c r="T87" s="40"/>
      <c r="U87" s="40"/>
      <c r="V87" s="40"/>
      <c r="W87" s="40"/>
      <c r="X87" s="41"/>
      <c r="Y87" s="39" t="b">
        <v>1</v>
      </c>
      <c r="Z87" s="40" t="b">
        <v>1</v>
      </c>
      <c r="AA87" s="40" t="b">
        <v>1</v>
      </c>
      <c r="AB87" s="40" t="b">
        <v>1</v>
      </c>
      <c r="AC87" s="40" t="b">
        <v>1</v>
      </c>
      <c r="AD87" s="40" t="b">
        <v>1</v>
      </c>
      <c r="AE87" s="40" t="b">
        <v>1</v>
      </c>
      <c r="AF87" s="41" t="b">
        <v>1</v>
      </c>
    </row>
    <row r="88" spans="1:32" x14ac:dyDescent="0.15">
      <c r="A88" s="51" t="b">
        <v>0</v>
      </c>
      <c r="B88" s="51" t="b">
        <v>0</v>
      </c>
      <c r="C88" s="20" t="s">
        <v>177</v>
      </c>
      <c r="D88" s="21"/>
      <c r="E88" s="50" t="s">
        <v>137</v>
      </c>
      <c r="F88" s="19" t="s">
        <v>151</v>
      </c>
      <c r="G88" s="19" t="s">
        <v>138</v>
      </c>
      <c r="H88" s="31" t="s">
        <v>139</v>
      </c>
      <c r="I88" s="40"/>
      <c r="J88" s="40"/>
      <c r="K88" s="40"/>
      <c r="L88" s="40"/>
      <c r="M88" s="40"/>
      <c r="N88" s="40"/>
      <c r="O88" s="40"/>
      <c r="P88" s="40"/>
      <c r="Q88" s="39"/>
      <c r="R88" s="40"/>
      <c r="S88" s="40"/>
      <c r="T88" s="40"/>
      <c r="U88" s="40"/>
      <c r="V88" s="40"/>
      <c r="W88" s="40"/>
      <c r="X88" s="41"/>
      <c r="Y88" s="39" t="b">
        <v>1</v>
      </c>
      <c r="Z88" s="40" t="b">
        <v>1</v>
      </c>
      <c r="AA88" s="40" t="b">
        <v>1</v>
      </c>
      <c r="AB88" s="40" t="b">
        <v>1</v>
      </c>
      <c r="AC88" s="40" t="b">
        <v>1</v>
      </c>
      <c r="AD88" s="40" t="b">
        <v>1</v>
      </c>
      <c r="AE88" s="40" t="b">
        <v>1</v>
      </c>
      <c r="AF88" s="41" t="b">
        <v>1</v>
      </c>
    </row>
    <row r="89" spans="1:32" x14ac:dyDescent="0.15">
      <c r="A89" s="51" t="b">
        <v>0</v>
      </c>
      <c r="B89" s="51" t="b">
        <v>0</v>
      </c>
      <c r="C89" s="20" t="s">
        <v>178</v>
      </c>
      <c r="D89" s="23"/>
      <c r="E89" s="50" t="s">
        <v>137</v>
      </c>
      <c r="F89" s="19" t="s">
        <v>151</v>
      </c>
      <c r="G89" s="19" t="s">
        <v>138</v>
      </c>
      <c r="H89" s="31" t="s">
        <v>139</v>
      </c>
      <c r="I89" s="40"/>
      <c r="J89" s="40"/>
      <c r="K89" s="40"/>
      <c r="L89" s="40"/>
      <c r="M89" s="40"/>
      <c r="N89" s="40"/>
      <c r="O89" s="40"/>
      <c r="P89" s="40"/>
      <c r="Q89" s="39"/>
      <c r="R89" s="40"/>
      <c r="S89" s="40"/>
      <c r="T89" s="40"/>
      <c r="U89" s="40"/>
      <c r="V89" s="40"/>
      <c r="W89" s="40"/>
      <c r="X89" s="41"/>
      <c r="Y89" s="39" t="b">
        <v>1</v>
      </c>
      <c r="Z89" s="40" t="b">
        <v>1</v>
      </c>
      <c r="AA89" s="40" t="b">
        <v>1</v>
      </c>
      <c r="AB89" s="40" t="b">
        <v>1</v>
      </c>
      <c r="AC89" s="40" t="b">
        <v>1</v>
      </c>
      <c r="AD89" s="40" t="b">
        <v>1</v>
      </c>
      <c r="AE89" s="40" t="b">
        <v>1</v>
      </c>
      <c r="AF89" s="41" t="b">
        <v>1</v>
      </c>
    </row>
    <row r="90" spans="1:32" x14ac:dyDescent="0.15">
      <c r="A90" s="51" t="b">
        <v>0</v>
      </c>
      <c r="B90" s="51" t="b">
        <v>0</v>
      </c>
      <c r="C90" s="20" t="s">
        <v>179</v>
      </c>
      <c r="D90" s="23"/>
      <c r="E90" s="50" t="s">
        <v>137</v>
      </c>
      <c r="F90" s="19" t="s">
        <v>151</v>
      </c>
      <c r="G90" s="19" t="s">
        <v>138</v>
      </c>
      <c r="H90" s="31" t="s">
        <v>139</v>
      </c>
      <c r="I90" s="40"/>
      <c r="J90" s="40"/>
      <c r="K90" s="40"/>
      <c r="L90" s="40"/>
      <c r="M90" s="40"/>
      <c r="N90" s="40"/>
      <c r="O90" s="40"/>
      <c r="P90" s="40"/>
      <c r="Q90" s="39"/>
      <c r="R90" s="40"/>
      <c r="S90" s="40"/>
      <c r="T90" s="40"/>
      <c r="U90" s="40"/>
      <c r="V90" s="40"/>
      <c r="W90" s="40"/>
      <c r="X90" s="41"/>
      <c r="Y90" s="39" t="b">
        <v>1</v>
      </c>
      <c r="Z90" s="40" t="b">
        <v>1</v>
      </c>
      <c r="AA90" s="40" t="b">
        <v>1</v>
      </c>
      <c r="AB90" s="40" t="b">
        <v>1</v>
      </c>
      <c r="AC90" s="40" t="b">
        <v>1</v>
      </c>
      <c r="AD90" s="40" t="b">
        <v>1</v>
      </c>
      <c r="AE90" s="40" t="b">
        <v>1</v>
      </c>
      <c r="AF90" s="41" t="b">
        <v>1</v>
      </c>
    </row>
    <row r="91" spans="1:32" x14ac:dyDescent="0.15">
      <c r="A91" s="51" t="b">
        <v>0</v>
      </c>
      <c r="B91" s="51" t="b">
        <v>0</v>
      </c>
      <c r="C91" s="20" t="s">
        <v>180</v>
      </c>
      <c r="D91" s="23"/>
      <c r="E91" s="50" t="s">
        <v>137</v>
      </c>
      <c r="F91" s="19" t="s">
        <v>151</v>
      </c>
      <c r="G91" s="19" t="s">
        <v>138</v>
      </c>
      <c r="H91" s="31" t="s">
        <v>139</v>
      </c>
      <c r="I91" s="40"/>
      <c r="J91" s="40"/>
      <c r="K91" s="40"/>
      <c r="L91" s="40"/>
      <c r="M91" s="40"/>
      <c r="N91" s="40"/>
      <c r="O91" s="40"/>
      <c r="P91" s="40"/>
      <c r="Q91" s="39"/>
      <c r="R91" s="40"/>
      <c r="S91" s="40"/>
      <c r="T91" s="40"/>
      <c r="U91" s="40"/>
      <c r="V91" s="40"/>
      <c r="W91" s="40"/>
      <c r="X91" s="41"/>
      <c r="Y91" s="39" t="b">
        <v>1</v>
      </c>
      <c r="Z91" s="40" t="b">
        <v>1</v>
      </c>
      <c r="AA91" s="40" t="b">
        <v>1</v>
      </c>
      <c r="AB91" s="40" t="b">
        <v>1</v>
      </c>
      <c r="AC91" s="40" t="b">
        <v>1</v>
      </c>
      <c r="AD91" s="40" t="b">
        <v>1</v>
      </c>
      <c r="AE91" s="40" t="b">
        <v>1</v>
      </c>
      <c r="AF91" s="41" t="b">
        <v>1</v>
      </c>
    </row>
    <row r="92" spans="1:32" x14ac:dyDescent="0.15">
      <c r="A92" s="51" t="b">
        <v>0</v>
      </c>
      <c r="B92" s="51" t="b">
        <v>0</v>
      </c>
      <c r="C92" s="20" t="s">
        <v>181</v>
      </c>
      <c r="D92" s="23"/>
      <c r="E92" s="50" t="s">
        <v>137</v>
      </c>
      <c r="F92" s="19" t="s">
        <v>151</v>
      </c>
      <c r="G92" s="19" t="s">
        <v>138</v>
      </c>
      <c r="H92" s="31" t="s">
        <v>139</v>
      </c>
      <c r="I92" s="40"/>
      <c r="J92" s="40"/>
      <c r="K92" s="40"/>
      <c r="L92" s="40"/>
      <c r="M92" s="40"/>
      <c r="N92" s="40"/>
      <c r="O92" s="40"/>
      <c r="P92" s="40"/>
      <c r="Q92" s="39"/>
      <c r="R92" s="40"/>
      <c r="S92" s="40"/>
      <c r="T92" s="40"/>
      <c r="U92" s="40"/>
      <c r="V92" s="40"/>
      <c r="W92" s="40"/>
      <c r="X92" s="41"/>
      <c r="Y92" s="39" t="b">
        <v>1</v>
      </c>
      <c r="Z92" s="40" t="b">
        <v>1</v>
      </c>
      <c r="AA92" s="40" t="b">
        <v>1</v>
      </c>
      <c r="AB92" s="40" t="b">
        <v>1</v>
      </c>
      <c r="AC92" s="40" t="b">
        <v>1</v>
      </c>
      <c r="AD92" s="40" t="b">
        <v>1</v>
      </c>
      <c r="AE92" s="40" t="b">
        <v>1</v>
      </c>
      <c r="AF92" s="41" t="b">
        <v>1</v>
      </c>
    </row>
    <row r="93" spans="1:32" x14ac:dyDescent="0.15">
      <c r="A93" s="51" t="b">
        <v>0</v>
      </c>
      <c r="B93" s="51" t="b">
        <v>0</v>
      </c>
      <c r="C93" s="20" t="s">
        <v>182</v>
      </c>
      <c r="D93" s="23"/>
      <c r="E93" s="50" t="s">
        <v>137</v>
      </c>
      <c r="F93" s="19" t="s">
        <v>151</v>
      </c>
      <c r="G93" s="19" t="s">
        <v>138</v>
      </c>
      <c r="H93" s="31" t="s">
        <v>139</v>
      </c>
      <c r="I93" s="40"/>
      <c r="J93" s="40"/>
      <c r="K93" s="40"/>
      <c r="L93" s="40"/>
      <c r="M93" s="40"/>
      <c r="N93" s="40"/>
      <c r="O93" s="40"/>
      <c r="P93" s="40"/>
      <c r="Q93" s="39"/>
      <c r="R93" s="40"/>
      <c r="S93" s="40"/>
      <c r="T93" s="40"/>
      <c r="U93" s="40"/>
      <c r="V93" s="40"/>
      <c r="W93" s="40"/>
      <c r="X93" s="41"/>
      <c r="Y93" s="39" t="b">
        <v>1</v>
      </c>
      <c r="Z93" s="40" t="b">
        <v>1</v>
      </c>
      <c r="AA93" s="40" t="b">
        <v>1</v>
      </c>
      <c r="AB93" s="40" t="b">
        <v>1</v>
      </c>
      <c r="AC93" s="40" t="b">
        <v>1</v>
      </c>
      <c r="AD93" s="40" t="b">
        <v>1</v>
      </c>
      <c r="AE93" s="40" t="b">
        <v>1</v>
      </c>
      <c r="AF93" s="41" t="b">
        <v>1</v>
      </c>
    </row>
    <row r="94" spans="1:32" x14ac:dyDescent="0.15">
      <c r="A94" s="51" t="b">
        <v>0</v>
      </c>
      <c r="B94" s="51" t="b">
        <v>0</v>
      </c>
      <c r="C94" s="20" t="s">
        <v>183</v>
      </c>
      <c r="D94" s="23"/>
      <c r="E94" s="50" t="s">
        <v>137</v>
      </c>
      <c r="F94" s="19" t="s">
        <v>151</v>
      </c>
      <c r="G94" s="19" t="s">
        <v>138</v>
      </c>
      <c r="H94" s="31" t="s">
        <v>139</v>
      </c>
      <c r="I94" s="40"/>
      <c r="J94" s="40"/>
      <c r="K94" s="40"/>
      <c r="L94" s="40"/>
      <c r="M94" s="40"/>
      <c r="N94" s="40"/>
      <c r="O94" s="40"/>
      <c r="P94" s="40"/>
      <c r="Q94" s="39"/>
      <c r="R94" s="40"/>
      <c r="S94" s="40"/>
      <c r="T94" s="40"/>
      <c r="U94" s="40"/>
      <c r="V94" s="40"/>
      <c r="W94" s="40"/>
      <c r="X94" s="41"/>
      <c r="Y94" s="39" t="b">
        <v>1</v>
      </c>
      <c r="Z94" s="40" t="b">
        <v>1</v>
      </c>
      <c r="AA94" s="40" t="b">
        <v>1</v>
      </c>
      <c r="AB94" s="40" t="b">
        <v>1</v>
      </c>
      <c r="AC94" s="40" t="b">
        <v>1</v>
      </c>
      <c r="AD94" s="40" t="b">
        <v>1</v>
      </c>
      <c r="AE94" s="40" t="b">
        <v>1</v>
      </c>
      <c r="AF94" s="41" t="b">
        <v>1</v>
      </c>
    </row>
    <row r="95" spans="1:32" x14ac:dyDescent="0.15">
      <c r="A95" s="51" t="b">
        <v>0</v>
      </c>
      <c r="B95" s="51" t="b">
        <v>0</v>
      </c>
      <c r="C95" s="20" t="s">
        <v>184</v>
      </c>
      <c r="D95" s="23"/>
      <c r="E95" s="50" t="s">
        <v>137</v>
      </c>
      <c r="F95" s="19" t="s">
        <v>151</v>
      </c>
      <c r="G95" s="19" t="s">
        <v>138</v>
      </c>
      <c r="H95" s="31" t="s">
        <v>139</v>
      </c>
      <c r="I95" s="40"/>
      <c r="J95" s="40"/>
      <c r="K95" s="40"/>
      <c r="L95" s="40"/>
      <c r="M95" s="40"/>
      <c r="N95" s="40"/>
      <c r="O95" s="40"/>
      <c r="P95" s="40"/>
      <c r="Q95" s="39"/>
      <c r="R95" s="40"/>
      <c r="S95" s="40"/>
      <c r="T95" s="40"/>
      <c r="U95" s="40"/>
      <c r="V95" s="40"/>
      <c r="W95" s="40"/>
      <c r="X95" s="41"/>
      <c r="Y95" s="39" t="b">
        <v>1</v>
      </c>
      <c r="Z95" s="40" t="b">
        <v>1</v>
      </c>
      <c r="AA95" s="40" t="b">
        <v>1</v>
      </c>
      <c r="AB95" s="40" t="b">
        <v>1</v>
      </c>
      <c r="AC95" s="40" t="b">
        <v>1</v>
      </c>
      <c r="AD95" s="40" t="b">
        <v>1</v>
      </c>
      <c r="AE95" s="40" t="b">
        <v>1</v>
      </c>
      <c r="AF95" s="41" t="b">
        <v>1</v>
      </c>
    </row>
    <row r="96" spans="1:32" s="299" customFormat="1" x14ac:dyDescent="0.15">
      <c r="A96" s="303" t="b">
        <f>IF(COUNTIFS(A76:A95,FALSE)=0,FALSE,TRUE)</f>
        <v>1</v>
      </c>
      <c r="B96" s="303" t="b">
        <f>IF(COUNTIFS(B76:B95,FALSE)=0,FALSE,TRUE)</f>
        <v>1</v>
      </c>
      <c r="C96" s="304"/>
      <c r="D96" s="305" t="s">
        <v>153</v>
      </c>
      <c r="E96" s="309"/>
      <c r="F96" s="310"/>
      <c r="G96" s="310"/>
      <c r="H96" s="311"/>
      <c r="I96" s="307"/>
      <c r="J96" s="307"/>
      <c r="K96" s="307"/>
      <c r="L96" s="307"/>
      <c r="M96" s="307"/>
      <c r="N96" s="307"/>
      <c r="O96" s="307"/>
      <c r="P96" s="307"/>
      <c r="Q96" s="306"/>
      <c r="R96" s="307"/>
      <c r="S96" s="307"/>
      <c r="T96" s="307"/>
      <c r="U96" s="307"/>
      <c r="V96" s="307"/>
      <c r="W96" s="307"/>
      <c r="X96" s="308"/>
      <c r="Y96" s="306" t="b">
        <v>1</v>
      </c>
      <c r="Z96" s="307" t="b">
        <v>1</v>
      </c>
      <c r="AA96" s="307" t="b">
        <v>1</v>
      </c>
      <c r="AB96" s="307" t="b">
        <v>1</v>
      </c>
      <c r="AC96" s="307" t="b">
        <v>1</v>
      </c>
      <c r="AD96" s="307" t="b">
        <v>1</v>
      </c>
      <c r="AE96" s="307" t="b">
        <v>1</v>
      </c>
      <c r="AF96" s="308" t="b">
        <v>1</v>
      </c>
    </row>
    <row r="97" spans="1:32" s="321" customFormat="1" x14ac:dyDescent="0.15">
      <c r="A97" s="322"/>
      <c r="B97" s="322"/>
      <c r="C97" s="323"/>
      <c r="D97" s="324"/>
      <c r="E97" s="332"/>
      <c r="F97" s="333"/>
      <c r="G97" s="333"/>
      <c r="H97" s="334"/>
      <c r="I97" s="317"/>
      <c r="J97" s="317"/>
      <c r="K97" s="317"/>
      <c r="L97" s="317"/>
      <c r="M97" s="317"/>
      <c r="N97" s="317"/>
      <c r="O97" s="317"/>
      <c r="P97" s="317"/>
      <c r="Q97" s="327"/>
      <c r="R97" s="317"/>
      <c r="S97" s="317"/>
      <c r="T97" s="317"/>
      <c r="U97" s="317"/>
      <c r="V97" s="317"/>
      <c r="W97" s="317"/>
      <c r="X97" s="328"/>
      <c r="Y97" s="327" t="b">
        <v>1</v>
      </c>
      <c r="Z97" s="317" t="b">
        <v>1</v>
      </c>
      <c r="AA97" s="317" t="b">
        <v>1</v>
      </c>
      <c r="AB97" s="317" t="b">
        <v>1</v>
      </c>
      <c r="AC97" s="317" t="b">
        <v>1</v>
      </c>
      <c r="AD97" s="317" t="b">
        <v>1</v>
      </c>
      <c r="AE97" s="317" t="b">
        <v>1</v>
      </c>
      <c r="AF97" s="328" t="b">
        <v>1</v>
      </c>
    </row>
    <row r="98" spans="1:32" x14ac:dyDescent="0.15">
      <c r="A98" s="51" t="b">
        <v>1</v>
      </c>
      <c r="B98" s="51" t="b">
        <v>1</v>
      </c>
      <c r="C98" s="20" t="s">
        <v>86</v>
      </c>
      <c r="D98" s="22" t="s">
        <v>87</v>
      </c>
      <c r="E98" s="50" t="s">
        <v>137</v>
      </c>
      <c r="F98" s="19" t="s">
        <v>151</v>
      </c>
      <c r="G98" s="19" t="s">
        <v>138</v>
      </c>
      <c r="H98" s="31" t="s">
        <v>139</v>
      </c>
      <c r="O98" s="17">
        <v>4</v>
      </c>
      <c r="P98" s="17">
        <v>4</v>
      </c>
      <c r="Q98" s="39"/>
      <c r="R98" s="40"/>
      <c r="S98" s="40"/>
      <c r="T98" s="40"/>
      <c r="U98" s="40"/>
      <c r="V98" s="40"/>
      <c r="W98" s="40"/>
      <c r="X98" s="41"/>
      <c r="Y98" s="39" t="b">
        <v>1</v>
      </c>
      <c r="Z98" s="40" t="b">
        <v>1</v>
      </c>
      <c r="AA98" s="40" t="b">
        <v>1</v>
      </c>
      <c r="AB98" s="40" t="b">
        <v>1</v>
      </c>
      <c r="AC98" s="40" t="b">
        <v>1</v>
      </c>
      <c r="AD98" s="40" t="b">
        <v>1</v>
      </c>
      <c r="AE98" s="40" t="b">
        <v>0</v>
      </c>
      <c r="AF98" s="41" t="b">
        <v>0</v>
      </c>
    </row>
    <row r="99" spans="1:32" x14ac:dyDescent="0.15">
      <c r="A99" s="51" t="b">
        <v>1</v>
      </c>
      <c r="B99" s="51" t="b">
        <v>1</v>
      </c>
      <c r="C99" s="20" t="s">
        <v>88</v>
      </c>
      <c r="D99" s="22" t="s">
        <v>89</v>
      </c>
      <c r="E99" s="50" t="s">
        <v>137</v>
      </c>
      <c r="F99" s="19" t="s">
        <v>151</v>
      </c>
      <c r="G99" s="19" t="s">
        <v>138</v>
      </c>
      <c r="H99" s="31" t="s">
        <v>139</v>
      </c>
      <c r="I99" s="17">
        <v>4</v>
      </c>
      <c r="J99" s="17">
        <v>4</v>
      </c>
      <c r="O99" s="17">
        <v>4</v>
      </c>
      <c r="P99" s="17">
        <v>4</v>
      </c>
      <c r="Q99" s="39"/>
      <c r="R99" s="40"/>
      <c r="S99" s="40"/>
      <c r="T99" s="40"/>
      <c r="U99" s="40"/>
      <c r="V99" s="40"/>
      <c r="W99" s="40"/>
      <c r="X99" s="41"/>
      <c r="Y99" s="39" t="b">
        <v>0</v>
      </c>
      <c r="Z99" s="40" t="b">
        <v>0</v>
      </c>
      <c r="AA99" s="40" t="b">
        <v>1</v>
      </c>
      <c r="AB99" s="40" t="b">
        <v>1</v>
      </c>
      <c r="AC99" s="40" t="b">
        <v>1</v>
      </c>
      <c r="AD99" s="40" t="b">
        <v>1</v>
      </c>
      <c r="AE99" s="40" t="b">
        <v>0</v>
      </c>
      <c r="AF99" s="41" t="b">
        <v>0</v>
      </c>
    </row>
    <row r="100" spans="1:32" x14ac:dyDescent="0.15">
      <c r="A100" s="51" t="b">
        <v>1</v>
      </c>
      <c r="B100" s="51" t="b">
        <v>1</v>
      </c>
      <c r="C100" s="20" t="s">
        <v>90</v>
      </c>
      <c r="D100" s="21" t="s">
        <v>91</v>
      </c>
      <c r="E100" s="50" t="s">
        <v>137</v>
      </c>
      <c r="F100" s="19" t="s">
        <v>151</v>
      </c>
      <c r="G100" s="19" t="s">
        <v>138</v>
      </c>
      <c r="H100" s="31" t="s">
        <v>139</v>
      </c>
      <c r="O100" s="17">
        <v>4</v>
      </c>
      <c r="P100" s="17">
        <v>4</v>
      </c>
      <c r="Q100" s="39"/>
      <c r="R100" s="40"/>
      <c r="S100" s="40"/>
      <c r="T100" s="40"/>
      <c r="U100" s="40"/>
      <c r="V100" s="40"/>
      <c r="W100" s="40"/>
      <c r="X100" s="41"/>
      <c r="Y100" s="39" t="b">
        <v>1</v>
      </c>
      <c r="Z100" s="40" t="b">
        <v>1</v>
      </c>
      <c r="AA100" s="40" t="b">
        <v>1</v>
      </c>
      <c r="AB100" s="40" t="b">
        <v>1</v>
      </c>
      <c r="AC100" s="40" t="b">
        <v>1</v>
      </c>
      <c r="AD100" s="40" t="b">
        <v>1</v>
      </c>
      <c r="AE100" s="40" t="b">
        <v>0</v>
      </c>
      <c r="AF100" s="41" t="b">
        <v>0</v>
      </c>
    </row>
    <row r="101" spans="1:32" x14ac:dyDescent="0.15">
      <c r="A101" s="51" t="b">
        <v>1</v>
      </c>
      <c r="B101" s="51" t="b">
        <v>1</v>
      </c>
      <c r="C101" s="20" t="s">
        <v>92</v>
      </c>
      <c r="D101" s="22" t="s">
        <v>93</v>
      </c>
      <c r="E101" s="50" t="s">
        <v>137</v>
      </c>
      <c r="F101" s="19" t="s">
        <v>151</v>
      </c>
      <c r="G101" s="19" t="s">
        <v>138</v>
      </c>
      <c r="H101" s="31" t="s">
        <v>139</v>
      </c>
      <c r="O101" s="17">
        <v>4</v>
      </c>
      <c r="P101" s="17">
        <v>4</v>
      </c>
      <c r="Q101" s="39"/>
      <c r="R101" s="40"/>
      <c r="S101" s="40"/>
      <c r="T101" s="40"/>
      <c r="U101" s="40"/>
      <c r="V101" s="40"/>
      <c r="W101" s="40"/>
      <c r="X101" s="41"/>
      <c r="Y101" s="39" t="b">
        <v>1</v>
      </c>
      <c r="Z101" s="40" t="b">
        <v>1</v>
      </c>
      <c r="AA101" s="40" t="b">
        <v>1</v>
      </c>
      <c r="AB101" s="40" t="b">
        <v>1</v>
      </c>
      <c r="AC101" s="40" t="b">
        <v>1</v>
      </c>
      <c r="AD101" s="40" t="b">
        <v>1</v>
      </c>
      <c r="AE101" s="40" t="b">
        <v>0</v>
      </c>
      <c r="AF101" s="41" t="b">
        <v>0</v>
      </c>
    </row>
    <row r="102" spans="1:32" x14ac:dyDescent="0.15">
      <c r="A102" s="51" t="b">
        <v>1</v>
      </c>
      <c r="B102" s="51" t="b">
        <v>1</v>
      </c>
      <c r="C102" s="20" t="s">
        <v>94</v>
      </c>
      <c r="D102" s="21" t="s">
        <v>229</v>
      </c>
      <c r="E102" s="50" t="s">
        <v>137</v>
      </c>
      <c r="F102" s="19" t="s">
        <v>151</v>
      </c>
      <c r="G102" s="19" t="s">
        <v>138</v>
      </c>
      <c r="H102" s="31" t="s">
        <v>139</v>
      </c>
      <c r="I102" s="17">
        <v>4</v>
      </c>
      <c r="J102" s="17">
        <v>4</v>
      </c>
      <c r="K102" s="17">
        <v>4</v>
      </c>
      <c r="O102" s="17">
        <v>4</v>
      </c>
      <c r="P102" s="17">
        <v>4</v>
      </c>
      <c r="Q102" s="39"/>
      <c r="R102" s="40"/>
      <c r="S102" s="40"/>
      <c r="T102" s="40"/>
      <c r="U102" s="40"/>
      <c r="V102" s="40"/>
      <c r="W102" s="40"/>
      <c r="X102" s="41"/>
      <c r="Y102" s="39" t="b">
        <v>0</v>
      </c>
      <c r="Z102" s="40" t="b">
        <v>0</v>
      </c>
      <c r="AA102" s="40" t="b">
        <v>0</v>
      </c>
      <c r="AB102" s="40" t="b">
        <v>1</v>
      </c>
      <c r="AC102" s="40" t="b">
        <v>1</v>
      </c>
      <c r="AD102" s="40" t="b">
        <v>1</v>
      </c>
      <c r="AE102" s="40" t="b">
        <v>0</v>
      </c>
      <c r="AF102" s="41" t="b">
        <v>0</v>
      </c>
    </row>
    <row r="103" spans="1:32" x14ac:dyDescent="0.15">
      <c r="A103" s="51" t="b">
        <v>1</v>
      </c>
      <c r="B103" s="51" t="b">
        <v>1</v>
      </c>
      <c r="C103" s="20" t="s">
        <v>95</v>
      </c>
      <c r="D103" s="21" t="s">
        <v>96</v>
      </c>
      <c r="E103" s="50" t="s">
        <v>137</v>
      </c>
      <c r="F103" s="19" t="s">
        <v>151</v>
      </c>
      <c r="G103" s="19" t="s">
        <v>138</v>
      </c>
      <c r="H103" s="31" t="s">
        <v>139</v>
      </c>
      <c r="I103" s="17">
        <v>4</v>
      </c>
      <c r="N103" s="17">
        <v>4</v>
      </c>
      <c r="O103" s="17">
        <v>4</v>
      </c>
      <c r="P103" s="17">
        <v>4</v>
      </c>
      <c r="Q103" s="39"/>
      <c r="R103" s="40"/>
      <c r="S103" s="40"/>
      <c r="T103" s="40"/>
      <c r="U103" s="40"/>
      <c r="V103" s="40"/>
      <c r="W103" s="40"/>
      <c r="X103" s="41"/>
      <c r="Y103" s="39" t="b">
        <v>0</v>
      </c>
      <c r="Z103" s="40" t="b">
        <v>1</v>
      </c>
      <c r="AA103" s="40" t="b">
        <v>1</v>
      </c>
      <c r="AB103" s="40" t="b">
        <v>1</v>
      </c>
      <c r="AC103" s="40" t="b">
        <v>1</v>
      </c>
      <c r="AD103" s="40" t="b">
        <v>0</v>
      </c>
      <c r="AE103" s="40" t="b">
        <v>0</v>
      </c>
      <c r="AF103" s="41" t="b">
        <v>0</v>
      </c>
    </row>
    <row r="104" spans="1:32" x14ac:dyDescent="0.15">
      <c r="A104" s="51" t="b">
        <v>1</v>
      </c>
      <c r="B104" s="51" t="b">
        <v>1</v>
      </c>
      <c r="C104" s="20" t="s">
        <v>97</v>
      </c>
      <c r="D104" s="21" t="s">
        <v>98</v>
      </c>
      <c r="E104" s="50" t="s">
        <v>137</v>
      </c>
      <c r="F104" s="19" t="s">
        <v>151</v>
      </c>
      <c r="G104" s="19" t="s">
        <v>138</v>
      </c>
      <c r="H104" s="31" t="s">
        <v>139</v>
      </c>
      <c r="I104" s="17">
        <v>4</v>
      </c>
      <c r="N104" s="17">
        <v>4</v>
      </c>
      <c r="O104" s="17">
        <v>4</v>
      </c>
      <c r="P104" s="17">
        <v>4</v>
      </c>
      <c r="Q104" s="39"/>
      <c r="R104" s="40"/>
      <c r="S104" s="40"/>
      <c r="T104" s="40"/>
      <c r="U104" s="40"/>
      <c r="V104" s="40"/>
      <c r="W104" s="40"/>
      <c r="X104" s="41"/>
      <c r="Y104" s="39" t="b">
        <v>0</v>
      </c>
      <c r="Z104" s="40" t="b">
        <v>1</v>
      </c>
      <c r="AA104" s="40" t="b">
        <v>1</v>
      </c>
      <c r="AB104" s="40" t="b">
        <v>1</v>
      </c>
      <c r="AC104" s="40" t="b">
        <v>1</v>
      </c>
      <c r="AD104" s="40" t="b">
        <v>0</v>
      </c>
      <c r="AE104" s="40" t="b">
        <v>0</v>
      </c>
      <c r="AF104" s="41" t="b">
        <v>0</v>
      </c>
    </row>
    <row r="105" spans="1:32" x14ac:dyDescent="0.15">
      <c r="A105" s="51" t="b">
        <v>1</v>
      </c>
      <c r="B105" s="51" t="b">
        <v>1</v>
      </c>
      <c r="C105" s="20" t="s">
        <v>99</v>
      </c>
      <c r="D105" s="21" t="s">
        <v>100</v>
      </c>
      <c r="E105" s="50" t="s">
        <v>137</v>
      </c>
      <c r="F105" s="19" t="s">
        <v>151</v>
      </c>
      <c r="G105" s="19" t="s">
        <v>138</v>
      </c>
      <c r="H105" s="31" t="s">
        <v>139</v>
      </c>
      <c r="M105" s="17">
        <v>4</v>
      </c>
      <c r="N105" s="17">
        <v>4</v>
      </c>
      <c r="O105" s="17">
        <v>4</v>
      </c>
      <c r="P105" s="17">
        <v>4</v>
      </c>
      <c r="Q105" s="39"/>
      <c r="R105" s="40"/>
      <c r="S105" s="40"/>
      <c r="T105" s="40"/>
      <c r="U105" s="40"/>
      <c r="V105" s="40"/>
      <c r="W105" s="40"/>
      <c r="X105" s="41"/>
      <c r="Y105" s="39" t="b">
        <v>1</v>
      </c>
      <c r="Z105" s="40" t="b">
        <v>1</v>
      </c>
      <c r="AA105" s="40" t="b">
        <v>1</v>
      </c>
      <c r="AB105" s="40" t="b">
        <v>1</v>
      </c>
      <c r="AC105" s="40" t="b">
        <v>0</v>
      </c>
      <c r="AD105" s="40" t="b">
        <v>0</v>
      </c>
      <c r="AE105" s="40" t="b">
        <v>0</v>
      </c>
      <c r="AF105" s="41" t="b">
        <v>0</v>
      </c>
    </row>
    <row r="106" spans="1:32" x14ac:dyDescent="0.15">
      <c r="A106" s="51" t="b">
        <v>0</v>
      </c>
      <c r="B106" s="51" t="b">
        <v>0</v>
      </c>
      <c r="C106" s="20" t="s">
        <v>101</v>
      </c>
      <c r="D106" s="23"/>
      <c r="E106" s="50" t="s">
        <v>137</v>
      </c>
      <c r="F106" s="19" t="s">
        <v>151</v>
      </c>
      <c r="G106" s="19" t="s">
        <v>138</v>
      </c>
      <c r="H106" s="31" t="s">
        <v>139</v>
      </c>
      <c r="Q106" s="39"/>
      <c r="R106" s="40"/>
      <c r="S106" s="40"/>
      <c r="T106" s="40"/>
      <c r="U106" s="40"/>
      <c r="V106" s="40"/>
      <c r="W106" s="40"/>
      <c r="X106" s="41"/>
      <c r="Y106" s="39" t="b">
        <v>1</v>
      </c>
      <c r="Z106" s="40" t="b">
        <v>1</v>
      </c>
      <c r="AA106" s="40" t="b">
        <v>1</v>
      </c>
      <c r="AB106" s="40" t="b">
        <v>1</v>
      </c>
      <c r="AC106" s="40" t="b">
        <v>1</v>
      </c>
      <c r="AD106" s="40" t="b">
        <v>1</v>
      </c>
      <c r="AE106" s="40" t="b">
        <v>1</v>
      </c>
      <c r="AF106" s="41" t="b">
        <v>1</v>
      </c>
    </row>
    <row r="107" spans="1:32" x14ac:dyDescent="0.15">
      <c r="A107" s="51" t="b">
        <v>0</v>
      </c>
      <c r="B107" s="51" t="b">
        <v>0</v>
      </c>
      <c r="C107" s="20" t="s">
        <v>102</v>
      </c>
      <c r="D107" s="23"/>
      <c r="E107" s="50" t="s">
        <v>137</v>
      </c>
      <c r="F107" s="19" t="s">
        <v>151</v>
      </c>
      <c r="G107" s="19" t="s">
        <v>138</v>
      </c>
      <c r="H107" s="31" t="s">
        <v>139</v>
      </c>
      <c r="Q107" s="39"/>
      <c r="R107" s="40"/>
      <c r="S107" s="40"/>
      <c r="T107" s="40"/>
      <c r="U107" s="40"/>
      <c r="V107" s="40"/>
      <c r="W107" s="40"/>
      <c r="X107" s="41"/>
      <c r="Y107" s="39" t="b">
        <v>1</v>
      </c>
      <c r="Z107" s="40" t="b">
        <v>1</v>
      </c>
      <c r="AA107" s="40" t="b">
        <v>1</v>
      </c>
      <c r="AB107" s="40" t="b">
        <v>1</v>
      </c>
      <c r="AC107" s="40" t="b">
        <v>1</v>
      </c>
      <c r="AD107" s="40" t="b">
        <v>1</v>
      </c>
      <c r="AE107" s="40" t="b">
        <v>1</v>
      </c>
      <c r="AF107" s="41" t="b">
        <v>1</v>
      </c>
    </row>
    <row r="108" spans="1:32" x14ac:dyDescent="0.15">
      <c r="A108" s="51" t="b">
        <v>0</v>
      </c>
      <c r="B108" s="51" t="b">
        <v>0</v>
      </c>
      <c r="C108" s="20" t="s">
        <v>103</v>
      </c>
      <c r="D108" s="23"/>
      <c r="E108" s="50" t="s">
        <v>137</v>
      </c>
      <c r="F108" s="19" t="s">
        <v>151</v>
      </c>
      <c r="G108" s="19" t="s">
        <v>138</v>
      </c>
      <c r="H108" s="31" t="s">
        <v>139</v>
      </c>
      <c r="Q108" s="39"/>
      <c r="R108" s="40"/>
      <c r="S108" s="40"/>
      <c r="T108" s="40"/>
      <c r="U108" s="40"/>
      <c r="V108" s="40"/>
      <c r="W108" s="40"/>
      <c r="X108" s="41"/>
      <c r="Y108" s="39" t="b">
        <v>1</v>
      </c>
      <c r="Z108" s="40" t="b">
        <v>1</v>
      </c>
      <c r="AA108" s="40" t="b">
        <v>1</v>
      </c>
      <c r="AB108" s="40" t="b">
        <v>1</v>
      </c>
      <c r="AC108" s="40" t="b">
        <v>1</v>
      </c>
      <c r="AD108" s="40" t="b">
        <v>1</v>
      </c>
      <c r="AE108" s="40" t="b">
        <v>1</v>
      </c>
      <c r="AF108" s="41" t="b">
        <v>1</v>
      </c>
    </row>
    <row r="109" spans="1:32" x14ac:dyDescent="0.15">
      <c r="A109" s="51" t="b">
        <v>0</v>
      </c>
      <c r="B109" s="51" t="b">
        <v>0</v>
      </c>
      <c r="C109" s="20" t="s">
        <v>104</v>
      </c>
      <c r="D109" s="23"/>
      <c r="E109" s="50" t="s">
        <v>137</v>
      </c>
      <c r="F109" s="19" t="s">
        <v>151</v>
      </c>
      <c r="G109" s="19" t="s">
        <v>138</v>
      </c>
      <c r="H109" s="31" t="s">
        <v>139</v>
      </c>
      <c r="Q109" s="39"/>
      <c r="R109" s="40"/>
      <c r="S109" s="40"/>
      <c r="T109" s="40"/>
      <c r="U109" s="40"/>
      <c r="V109" s="40"/>
      <c r="W109" s="40"/>
      <c r="X109" s="41"/>
      <c r="Y109" s="39" t="b">
        <v>1</v>
      </c>
      <c r="Z109" s="40" t="b">
        <v>1</v>
      </c>
      <c r="AA109" s="40" t="b">
        <v>1</v>
      </c>
      <c r="AB109" s="40" t="b">
        <v>1</v>
      </c>
      <c r="AC109" s="40" t="b">
        <v>1</v>
      </c>
      <c r="AD109" s="40" t="b">
        <v>1</v>
      </c>
      <c r="AE109" s="40" t="b">
        <v>1</v>
      </c>
      <c r="AF109" s="41" t="b">
        <v>1</v>
      </c>
    </row>
    <row r="110" spans="1:32" x14ac:dyDescent="0.15">
      <c r="A110" s="51" t="b">
        <v>0</v>
      </c>
      <c r="B110" s="51" t="b">
        <v>0</v>
      </c>
      <c r="C110" s="20" t="s">
        <v>185</v>
      </c>
      <c r="D110" s="23"/>
      <c r="E110" s="50" t="s">
        <v>137</v>
      </c>
      <c r="F110" s="19" t="s">
        <v>151</v>
      </c>
      <c r="G110" s="19" t="s">
        <v>138</v>
      </c>
      <c r="H110" s="31" t="s">
        <v>139</v>
      </c>
      <c r="Q110" s="39"/>
      <c r="R110" s="40"/>
      <c r="S110" s="40"/>
      <c r="T110" s="40"/>
      <c r="U110" s="40"/>
      <c r="V110" s="40"/>
      <c r="W110" s="40"/>
      <c r="X110" s="41"/>
      <c r="Y110" s="39" t="b">
        <v>1</v>
      </c>
      <c r="Z110" s="40" t="b">
        <v>1</v>
      </c>
      <c r="AA110" s="40" t="b">
        <v>1</v>
      </c>
      <c r="AB110" s="40" t="b">
        <v>1</v>
      </c>
      <c r="AC110" s="40" t="b">
        <v>1</v>
      </c>
      <c r="AD110" s="40" t="b">
        <v>1</v>
      </c>
      <c r="AE110" s="40" t="b">
        <v>1</v>
      </c>
      <c r="AF110" s="41" t="b">
        <v>1</v>
      </c>
    </row>
    <row r="111" spans="1:32" x14ac:dyDescent="0.15">
      <c r="A111" s="51" t="b">
        <v>0</v>
      </c>
      <c r="B111" s="51" t="b">
        <v>0</v>
      </c>
      <c r="C111" s="20" t="s">
        <v>186</v>
      </c>
      <c r="D111" s="23"/>
      <c r="E111" s="50" t="s">
        <v>137</v>
      </c>
      <c r="F111" s="19" t="s">
        <v>151</v>
      </c>
      <c r="G111" s="19" t="s">
        <v>138</v>
      </c>
      <c r="H111" s="31" t="s">
        <v>139</v>
      </c>
      <c r="Q111" s="39"/>
      <c r="R111" s="40"/>
      <c r="S111" s="40"/>
      <c r="T111" s="40"/>
      <c r="U111" s="40"/>
      <c r="V111" s="40"/>
      <c r="W111" s="40"/>
      <c r="X111" s="41"/>
      <c r="Y111" s="39" t="b">
        <v>1</v>
      </c>
      <c r="Z111" s="40" t="b">
        <v>1</v>
      </c>
      <c r="AA111" s="40" t="b">
        <v>1</v>
      </c>
      <c r="AB111" s="40" t="b">
        <v>1</v>
      </c>
      <c r="AC111" s="40" t="b">
        <v>1</v>
      </c>
      <c r="AD111" s="40" t="b">
        <v>1</v>
      </c>
      <c r="AE111" s="40" t="b">
        <v>1</v>
      </c>
      <c r="AF111" s="41" t="b">
        <v>1</v>
      </c>
    </row>
    <row r="112" spans="1:32" x14ac:dyDescent="0.15">
      <c r="A112" s="51" t="b">
        <v>0</v>
      </c>
      <c r="B112" s="51" t="b">
        <v>0</v>
      </c>
      <c r="C112" s="20" t="s">
        <v>187</v>
      </c>
      <c r="D112" s="23"/>
      <c r="E112" s="50" t="s">
        <v>137</v>
      </c>
      <c r="F112" s="19" t="s">
        <v>151</v>
      </c>
      <c r="G112" s="19" t="s">
        <v>138</v>
      </c>
      <c r="H112" s="31" t="s">
        <v>139</v>
      </c>
      <c r="Q112" s="39"/>
      <c r="R112" s="40"/>
      <c r="S112" s="40"/>
      <c r="T112" s="40"/>
      <c r="U112" s="40"/>
      <c r="V112" s="40"/>
      <c r="W112" s="40"/>
      <c r="X112" s="41"/>
      <c r="Y112" s="39" t="b">
        <v>1</v>
      </c>
      <c r="Z112" s="40" t="b">
        <v>1</v>
      </c>
      <c r="AA112" s="40" t="b">
        <v>1</v>
      </c>
      <c r="AB112" s="40" t="b">
        <v>1</v>
      </c>
      <c r="AC112" s="40" t="b">
        <v>1</v>
      </c>
      <c r="AD112" s="40" t="b">
        <v>1</v>
      </c>
      <c r="AE112" s="40" t="b">
        <v>1</v>
      </c>
      <c r="AF112" s="41" t="b">
        <v>1</v>
      </c>
    </row>
    <row r="113" spans="1:32" x14ac:dyDescent="0.15">
      <c r="A113" s="51" t="b">
        <v>0</v>
      </c>
      <c r="B113" s="51" t="b">
        <v>0</v>
      </c>
      <c r="C113" s="20" t="s">
        <v>188</v>
      </c>
      <c r="D113" s="23"/>
      <c r="E113" s="50" t="s">
        <v>137</v>
      </c>
      <c r="F113" s="19" t="s">
        <v>151</v>
      </c>
      <c r="G113" s="19" t="s">
        <v>138</v>
      </c>
      <c r="H113" s="31" t="s">
        <v>139</v>
      </c>
      <c r="Q113" s="39"/>
      <c r="R113" s="40"/>
      <c r="S113" s="40"/>
      <c r="T113" s="40"/>
      <c r="U113" s="40"/>
      <c r="V113" s="40"/>
      <c r="W113" s="40"/>
      <c r="X113" s="41"/>
      <c r="Y113" s="39" t="b">
        <v>1</v>
      </c>
      <c r="Z113" s="40" t="b">
        <v>1</v>
      </c>
      <c r="AA113" s="40" t="b">
        <v>1</v>
      </c>
      <c r="AB113" s="40" t="b">
        <v>1</v>
      </c>
      <c r="AC113" s="40" t="b">
        <v>1</v>
      </c>
      <c r="AD113" s="40" t="b">
        <v>1</v>
      </c>
      <c r="AE113" s="40" t="b">
        <v>1</v>
      </c>
      <c r="AF113" s="41" t="b">
        <v>1</v>
      </c>
    </row>
    <row r="114" spans="1:32" x14ac:dyDescent="0.15">
      <c r="A114" s="51" t="b">
        <v>0</v>
      </c>
      <c r="B114" s="51" t="b">
        <v>0</v>
      </c>
      <c r="C114" s="20" t="s">
        <v>189</v>
      </c>
      <c r="D114" s="23"/>
      <c r="E114" s="50" t="s">
        <v>137</v>
      </c>
      <c r="F114" s="19" t="s">
        <v>151</v>
      </c>
      <c r="G114" s="19" t="s">
        <v>138</v>
      </c>
      <c r="H114" s="31" t="s">
        <v>139</v>
      </c>
      <c r="Q114" s="39"/>
      <c r="R114" s="40"/>
      <c r="S114" s="40"/>
      <c r="T114" s="40"/>
      <c r="U114" s="40"/>
      <c r="V114" s="40"/>
      <c r="W114" s="40"/>
      <c r="X114" s="41"/>
      <c r="Y114" s="39" t="b">
        <v>1</v>
      </c>
      <c r="Z114" s="40" t="b">
        <v>1</v>
      </c>
      <c r="AA114" s="40" t="b">
        <v>1</v>
      </c>
      <c r="AB114" s="40" t="b">
        <v>1</v>
      </c>
      <c r="AC114" s="40" t="b">
        <v>1</v>
      </c>
      <c r="AD114" s="40" t="b">
        <v>1</v>
      </c>
      <c r="AE114" s="40" t="b">
        <v>1</v>
      </c>
      <c r="AF114" s="41" t="b">
        <v>1</v>
      </c>
    </row>
    <row r="115" spans="1:32" x14ac:dyDescent="0.15">
      <c r="A115" s="51" t="b">
        <v>0</v>
      </c>
      <c r="B115" s="51" t="b">
        <v>0</v>
      </c>
      <c r="C115" s="20" t="s">
        <v>190</v>
      </c>
      <c r="D115" s="23"/>
      <c r="E115" s="50" t="s">
        <v>137</v>
      </c>
      <c r="F115" s="19" t="s">
        <v>151</v>
      </c>
      <c r="G115" s="19" t="s">
        <v>138</v>
      </c>
      <c r="H115" s="31" t="s">
        <v>139</v>
      </c>
      <c r="Q115" s="39"/>
      <c r="R115" s="40"/>
      <c r="S115" s="40"/>
      <c r="T115" s="40"/>
      <c r="U115" s="40"/>
      <c r="V115" s="40"/>
      <c r="W115" s="40"/>
      <c r="X115" s="41"/>
      <c r="Y115" s="39" t="b">
        <v>1</v>
      </c>
      <c r="Z115" s="40" t="b">
        <v>1</v>
      </c>
      <c r="AA115" s="40" t="b">
        <v>1</v>
      </c>
      <c r="AB115" s="40" t="b">
        <v>1</v>
      </c>
      <c r="AC115" s="40" t="b">
        <v>1</v>
      </c>
      <c r="AD115" s="40" t="b">
        <v>1</v>
      </c>
      <c r="AE115" s="40" t="b">
        <v>1</v>
      </c>
      <c r="AF115" s="41" t="b">
        <v>1</v>
      </c>
    </row>
    <row r="116" spans="1:32" x14ac:dyDescent="0.15">
      <c r="A116" s="51" t="b">
        <v>0</v>
      </c>
      <c r="B116" s="51" t="b">
        <v>0</v>
      </c>
      <c r="C116" s="20" t="s">
        <v>191</v>
      </c>
      <c r="D116" s="23"/>
      <c r="E116" s="50" t="s">
        <v>137</v>
      </c>
      <c r="F116" s="19" t="s">
        <v>151</v>
      </c>
      <c r="G116" s="19" t="s">
        <v>138</v>
      </c>
      <c r="H116" s="31" t="s">
        <v>139</v>
      </c>
      <c r="Q116" s="39"/>
      <c r="R116" s="40"/>
      <c r="S116" s="40"/>
      <c r="T116" s="40"/>
      <c r="U116" s="40"/>
      <c r="V116" s="40"/>
      <c r="W116" s="40"/>
      <c r="X116" s="41"/>
      <c r="Y116" s="39" t="b">
        <v>1</v>
      </c>
      <c r="Z116" s="40" t="b">
        <v>1</v>
      </c>
      <c r="AA116" s="40" t="b">
        <v>1</v>
      </c>
      <c r="AB116" s="40" t="b">
        <v>1</v>
      </c>
      <c r="AC116" s="40" t="b">
        <v>1</v>
      </c>
      <c r="AD116" s="40" t="b">
        <v>1</v>
      </c>
      <c r="AE116" s="40" t="b">
        <v>1</v>
      </c>
      <c r="AF116" s="41" t="b">
        <v>1</v>
      </c>
    </row>
    <row r="117" spans="1:32" x14ac:dyDescent="0.15">
      <c r="A117" s="51" t="b">
        <v>0</v>
      </c>
      <c r="B117" s="51" t="b">
        <v>0</v>
      </c>
      <c r="C117" s="20" t="s">
        <v>192</v>
      </c>
      <c r="D117" s="23"/>
      <c r="E117" s="50" t="s">
        <v>137</v>
      </c>
      <c r="F117" s="19" t="s">
        <v>151</v>
      </c>
      <c r="G117" s="19" t="s">
        <v>138</v>
      </c>
      <c r="H117" s="31" t="s">
        <v>139</v>
      </c>
      <c r="Q117" s="39"/>
      <c r="R117" s="40"/>
      <c r="S117" s="40"/>
      <c r="T117" s="40"/>
      <c r="U117" s="40"/>
      <c r="V117" s="40"/>
      <c r="W117" s="40"/>
      <c r="X117" s="41"/>
      <c r="Y117" s="39" t="b">
        <v>1</v>
      </c>
      <c r="Z117" s="40" t="b">
        <v>1</v>
      </c>
      <c r="AA117" s="40" t="b">
        <v>1</v>
      </c>
      <c r="AB117" s="40" t="b">
        <v>1</v>
      </c>
      <c r="AC117" s="40" t="b">
        <v>1</v>
      </c>
      <c r="AD117" s="40" t="b">
        <v>1</v>
      </c>
      <c r="AE117" s="40" t="b">
        <v>1</v>
      </c>
      <c r="AF117" s="41" t="b">
        <v>1</v>
      </c>
    </row>
    <row r="118" spans="1:32" s="299" customFormat="1" x14ac:dyDescent="0.15">
      <c r="A118" s="294" t="b">
        <f>IF(COUNTIFS(A98:A117,FALSE)=0,FALSE,TRUE)</f>
        <v>1</v>
      </c>
      <c r="B118" s="294" t="b">
        <f>IF(COUNTIFS(B98:B117,FALSE)=0,FALSE,TRUE)</f>
        <v>1</v>
      </c>
      <c r="C118" s="295"/>
      <c r="D118" s="296" t="s">
        <v>153</v>
      </c>
      <c r="E118" s="297"/>
      <c r="F118" s="296"/>
      <c r="G118" s="296"/>
      <c r="H118" s="298"/>
      <c r="Q118" s="300"/>
      <c r="R118" s="301"/>
      <c r="S118" s="301"/>
      <c r="T118" s="301"/>
      <c r="U118" s="301"/>
      <c r="V118" s="301"/>
      <c r="W118" s="301"/>
      <c r="X118" s="302"/>
      <c r="Y118" s="300" t="b">
        <v>1</v>
      </c>
      <c r="Z118" s="301" t="b">
        <v>1</v>
      </c>
      <c r="AA118" s="301" t="b">
        <v>1</v>
      </c>
      <c r="AB118" s="301" t="b">
        <v>1</v>
      </c>
      <c r="AC118" s="301" t="b">
        <v>1</v>
      </c>
      <c r="AD118" s="301" t="b">
        <v>1</v>
      </c>
      <c r="AE118" s="301" t="b">
        <v>1</v>
      </c>
      <c r="AF118" s="302" t="b">
        <v>1</v>
      </c>
    </row>
    <row r="119" spans="1:32" s="321" customFormat="1" x14ac:dyDescent="0.15">
      <c r="A119" s="322"/>
      <c r="B119" s="322"/>
      <c r="C119" s="323"/>
      <c r="D119" s="324"/>
      <c r="E119" s="325"/>
      <c r="F119" s="324"/>
      <c r="G119" s="324"/>
      <c r="H119" s="326"/>
      <c r="Q119" s="327"/>
      <c r="R119" s="317"/>
      <c r="S119" s="317"/>
      <c r="T119" s="317"/>
      <c r="U119" s="317"/>
      <c r="V119" s="317"/>
      <c r="W119" s="317"/>
      <c r="X119" s="328"/>
      <c r="Y119" s="327" t="b">
        <v>1</v>
      </c>
      <c r="Z119" s="317" t="b">
        <v>1</v>
      </c>
      <c r="AA119" s="317" t="b">
        <v>1</v>
      </c>
      <c r="AB119" s="317" t="b">
        <v>1</v>
      </c>
      <c r="AC119" s="317" t="b">
        <v>1</v>
      </c>
      <c r="AD119" s="317" t="b">
        <v>1</v>
      </c>
      <c r="AE119" s="317" t="b">
        <v>1</v>
      </c>
      <c r="AF119" s="328" t="b">
        <v>1</v>
      </c>
    </row>
    <row r="120" spans="1:32" x14ac:dyDescent="0.15">
      <c r="A120" s="45" t="b">
        <v>1</v>
      </c>
      <c r="B120" s="45" t="b">
        <v>1</v>
      </c>
      <c r="C120" s="27" t="s">
        <v>105</v>
      </c>
      <c r="D120" s="48" t="s">
        <v>106</v>
      </c>
      <c r="E120" s="49" t="s">
        <v>137</v>
      </c>
      <c r="F120" s="29" t="s">
        <v>151</v>
      </c>
      <c r="G120" s="29" t="s">
        <v>138</v>
      </c>
      <c r="H120" s="30" t="s">
        <v>139</v>
      </c>
      <c r="I120" s="37"/>
      <c r="J120" s="37"/>
      <c r="K120" s="37"/>
      <c r="L120" s="37"/>
      <c r="M120" s="37"/>
      <c r="N120" s="37"/>
      <c r="O120" s="37"/>
      <c r="P120" s="37">
        <v>4</v>
      </c>
      <c r="Q120" s="36"/>
      <c r="R120" s="37"/>
      <c r="S120" s="37"/>
      <c r="T120" s="37"/>
      <c r="U120" s="37"/>
      <c r="V120" s="37"/>
      <c r="W120" s="37"/>
      <c r="X120" s="38"/>
      <c r="Y120" s="36" t="b">
        <v>1</v>
      </c>
      <c r="Z120" s="37" t="b">
        <v>1</v>
      </c>
      <c r="AA120" s="37" t="b">
        <v>1</v>
      </c>
      <c r="AB120" s="37" t="b">
        <v>1</v>
      </c>
      <c r="AC120" s="37" t="b">
        <v>1</v>
      </c>
      <c r="AD120" s="37" t="b">
        <v>1</v>
      </c>
      <c r="AE120" s="37" t="b">
        <v>1</v>
      </c>
      <c r="AF120" s="38" t="b">
        <v>0</v>
      </c>
    </row>
    <row r="121" spans="1:32" x14ac:dyDescent="0.15">
      <c r="A121" s="51" t="b">
        <v>1</v>
      </c>
      <c r="B121" s="51" t="b">
        <v>1</v>
      </c>
      <c r="C121" s="20" t="s">
        <v>107</v>
      </c>
      <c r="D121" s="22" t="s">
        <v>231</v>
      </c>
      <c r="E121" s="50" t="s">
        <v>137</v>
      </c>
      <c r="F121" s="19" t="s">
        <v>151</v>
      </c>
      <c r="G121" s="19" t="s">
        <v>138</v>
      </c>
      <c r="H121" s="31" t="s">
        <v>139</v>
      </c>
      <c r="I121" s="40"/>
      <c r="J121" s="40"/>
      <c r="K121" s="40"/>
      <c r="L121" s="40"/>
      <c r="M121" s="40"/>
      <c r="N121" s="40"/>
      <c r="O121" s="40"/>
      <c r="P121" s="40">
        <v>4</v>
      </c>
      <c r="Q121" s="39"/>
      <c r="R121" s="40"/>
      <c r="S121" s="40"/>
      <c r="T121" s="40"/>
      <c r="U121" s="40"/>
      <c r="V121" s="40"/>
      <c r="W121" s="40"/>
      <c r="X121" s="41"/>
      <c r="Y121" s="39" t="b">
        <v>1</v>
      </c>
      <c r="Z121" s="40" t="b">
        <v>1</v>
      </c>
      <c r="AA121" s="40" t="b">
        <v>1</v>
      </c>
      <c r="AB121" s="40" t="b">
        <v>1</v>
      </c>
      <c r="AC121" s="40" t="b">
        <v>1</v>
      </c>
      <c r="AD121" s="40" t="b">
        <v>1</v>
      </c>
      <c r="AE121" s="40" t="b">
        <v>1</v>
      </c>
      <c r="AF121" s="41" t="b">
        <v>0</v>
      </c>
    </row>
    <row r="122" spans="1:32" x14ac:dyDescent="0.15">
      <c r="A122" s="51" t="b">
        <v>1</v>
      </c>
      <c r="B122" s="51" t="b">
        <v>1</v>
      </c>
      <c r="C122" s="20" t="s">
        <v>108</v>
      </c>
      <c r="D122" s="22" t="s">
        <v>109</v>
      </c>
      <c r="E122" s="50" t="s">
        <v>137</v>
      </c>
      <c r="F122" s="19" t="s">
        <v>151</v>
      </c>
      <c r="G122" s="19" t="s">
        <v>138</v>
      </c>
      <c r="H122" s="31" t="s">
        <v>139</v>
      </c>
      <c r="I122" s="40"/>
      <c r="J122" s="40"/>
      <c r="K122" s="40"/>
      <c r="L122" s="40"/>
      <c r="M122" s="40"/>
      <c r="N122" s="40"/>
      <c r="O122" s="40"/>
      <c r="P122" s="40">
        <v>4</v>
      </c>
      <c r="Q122" s="39"/>
      <c r="R122" s="40"/>
      <c r="S122" s="40"/>
      <c r="T122" s="40"/>
      <c r="U122" s="40"/>
      <c r="V122" s="40"/>
      <c r="W122" s="40"/>
      <c r="X122" s="41"/>
      <c r="Y122" s="39" t="b">
        <v>1</v>
      </c>
      <c r="Z122" s="40" t="b">
        <v>1</v>
      </c>
      <c r="AA122" s="40" t="b">
        <v>1</v>
      </c>
      <c r="AB122" s="40" t="b">
        <v>1</v>
      </c>
      <c r="AC122" s="40" t="b">
        <v>1</v>
      </c>
      <c r="AD122" s="40" t="b">
        <v>1</v>
      </c>
      <c r="AE122" s="40" t="b">
        <v>1</v>
      </c>
      <c r="AF122" s="41" t="b">
        <v>0</v>
      </c>
    </row>
    <row r="123" spans="1:32" x14ac:dyDescent="0.15">
      <c r="A123" s="51" t="b">
        <v>1</v>
      </c>
      <c r="B123" s="51" t="b">
        <v>1</v>
      </c>
      <c r="C123" s="20" t="s">
        <v>110</v>
      </c>
      <c r="D123" s="22" t="s">
        <v>111</v>
      </c>
      <c r="E123" s="50" t="s">
        <v>137</v>
      </c>
      <c r="F123" s="19" t="s">
        <v>151</v>
      </c>
      <c r="G123" s="19" t="s">
        <v>138</v>
      </c>
      <c r="H123" s="31" t="s">
        <v>139</v>
      </c>
      <c r="I123" s="40"/>
      <c r="J123" s="40"/>
      <c r="K123" s="40"/>
      <c r="L123" s="40"/>
      <c r="M123" s="40"/>
      <c r="N123" s="40"/>
      <c r="O123" s="40"/>
      <c r="P123" s="40">
        <v>4</v>
      </c>
      <c r="Q123" s="39"/>
      <c r="R123" s="40"/>
      <c r="S123" s="40"/>
      <c r="T123" s="40"/>
      <c r="U123" s="40"/>
      <c r="V123" s="40"/>
      <c r="W123" s="40"/>
      <c r="X123" s="41"/>
      <c r="Y123" s="39" t="b">
        <v>1</v>
      </c>
      <c r="Z123" s="40" t="b">
        <v>1</v>
      </c>
      <c r="AA123" s="40" t="b">
        <v>1</v>
      </c>
      <c r="AB123" s="40" t="b">
        <v>1</v>
      </c>
      <c r="AC123" s="40" t="b">
        <v>1</v>
      </c>
      <c r="AD123" s="40" t="b">
        <v>1</v>
      </c>
      <c r="AE123" s="40" t="b">
        <v>1</v>
      </c>
      <c r="AF123" s="41" t="b">
        <v>0</v>
      </c>
    </row>
    <row r="124" spans="1:32" x14ac:dyDescent="0.15">
      <c r="A124" s="51" t="b">
        <v>1</v>
      </c>
      <c r="B124" s="51" t="b">
        <v>1</v>
      </c>
      <c r="C124" s="20" t="s">
        <v>112</v>
      </c>
      <c r="D124" s="22" t="s">
        <v>230</v>
      </c>
      <c r="E124" s="50" t="s">
        <v>137</v>
      </c>
      <c r="F124" s="19" t="s">
        <v>151</v>
      </c>
      <c r="G124" s="19" t="s">
        <v>138</v>
      </c>
      <c r="H124" s="31" t="s">
        <v>139</v>
      </c>
      <c r="I124" s="40">
        <v>4</v>
      </c>
      <c r="J124" s="40">
        <v>4</v>
      </c>
      <c r="K124" s="40">
        <v>4</v>
      </c>
      <c r="L124" s="40"/>
      <c r="M124" s="40"/>
      <c r="N124" s="40"/>
      <c r="O124" s="40"/>
      <c r="P124" s="40">
        <v>4</v>
      </c>
      <c r="Q124" s="39"/>
      <c r="R124" s="40"/>
      <c r="S124" s="40"/>
      <c r="T124" s="40"/>
      <c r="U124" s="40"/>
      <c r="V124" s="40"/>
      <c r="W124" s="40"/>
      <c r="X124" s="41"/>
      <c r="Y124" s="39" t="b">
        <v>0</v>
      </c>
      <c r="Z124" s="40" t="b">
        <v>0</v>
      </c>
      <c r="AA124" s="40" t="b">
        <v>0</v>
      </c>
      <c r="AB124" s="40" t="b">
        <v>1</v>
      </c>
      <c r="AC124" s="40" t="b">
        <v>1</v>
      </c>
      <c r="AD124" s="40" t="b">
        <v>1</v>
      </c>
      <c r="AE124" s="40" t="b">
        <v>1</v>
      </c>
      <c r="AF124" s="41" t="b">
        <v>0</v>
      </c>
    </row>
    <row r="125" spans="1:32" x14ac:dyDescent="0.15">
      <c r="A125" s="51" t="b">
        <v>1</v>
      </c>
      <c r="B125" s="51" t="b">
        <v>1</v>
      </c>
      <c r="C125" s="20" t="s">
        <v>113</v>
      </c>
      <c r="D125" s="22" t="s">
        <v>114</v>
      </c>
      <c r="E125" s="50" t="s">
        <v>137</v>
      </c>
      <c r="F125" s="19" t="s">
        <v>151</v>
      </c>
      <c r="G125" s="19" t="s">
        <v>138</v>
      </c>
      <c r="H125" s="31" t="s">
        <v>139</v>
      </c>
      <c r="I125" s="40">
        <v>4</v>
      </c>
      <c r="J125" s="40">
        <v>4</v>
      </c>
      <c r="K125" s="40">
        <v>4</v>
      </c>
      <c r="L125" s="40"/>
      <c r="M125" s="40"/>
      <c r="N125" s="40"/>
      <c r="O125" s="40"/>
      <c r="P125" s="40">
        <v>4</v>
      </c>
      <c r="Q125" s="39"/>
      <c r="R125" s="40"/>
      <c r="S125" s="40"/>
      <c r="T125" s="40"/>
      <c r="U125" s="40"/>
      <c r="V125" s="40"/>
      <c r="W125" s="40"/>
      <c r="X125" s="41"/>
      <c r="Y125" s="39" t="b">
        <v>0</v>
      </c>
      <c r="Z125" s="40" t="b">
        <v>0</v>
      </c>
      <c r="AA125" s="40" t="b">
        <v>0</v>
      </c>
      <c r="AB125" s="40" t="b">
        <v>1</v>
      </c>
      <c r="AC125" s="40" t="b">
        <v>1</v>
      </c>
      <c r="AD125" s="40" t="b">
        <v>1</v>
      </c>
      <c r="AE125" s="40" t="b">
        <v>1</v>
      </c>
      <c r="AF125" s="41" t="b">
        <v>0</v>
      </c>
    </row>
    <row r="126" spans="1:32" x14ac:dyDescent="0.15">
      <c r="A126" s="51" t="b">
        <v>1</v>
      </c>
      <c r="B126" s="51" t="b">
        <v>1</v>
      </c>
      <c r="C126" s="20" t="s">
        <v>115</v>
      </c>
      <c r="D126" s="22" t="s">
        <v>116</v>
      </c>
      <c r="E126" s="50" t="s">
        <v>137</v>
      </c>
      <c r="F126" s="19" t="s">
        <v>151</v>
      </c>
      <c r="G126" s="19" t="s">
        <v>138</v>
      </c>
      <c r="H126" s="31" t="s">
        <v>139</v>
      </c>
      <c r="I126" s="40"/>
      <c r="J126" s="40"/>
      <c r="K126" s="40"/>
      <c r="L126" s="40"/>
      <c r="M126" s="40"/>
      <c r="N126" s="40"/>
      <c r="O126" s="40"/>
      <c r="P126" s="40">
        <v>4</v>
      </c>
      <c r="Q126" s="39"/>
      <c r="R126" s="40"/>
      <c r="S126" s="40"/>
      <c r="T126" s="40"/>
      <c r="U126" s="40"/>
      <c r="V126" s="40"/>
      <c r="W126" s="40"/>
      <c r="X126" s="41"/>
      <c r="Y126" s="39" t="b">
        <v>1</v>
      </c>
      <c r="Z126" s="40" t="b">
        <v>1</v>
      </c>
      <c r="AA126" s="40" t="b">
        <v>1</v>
      </c>
      <c r="AB126" s="40" t="b">
        <v>1</v>
      </c>
      <c r="AC126" s="40" t="b">
        <v>1</v>
      </c>
      <c r="AD126" s="40" t="b">
        <v>1</v>
      </c>
      <c r="AE126" s="40" t="b">
        <v>1</v>
      </c>
      <c r="AF126" s="41" t="b">
        <v>0</v>
      </c>
    </row>
    <row r="127" spans="1:32" x14ac:dyDescent="0.15">
      <c r="A127" s="51" t="b">
        <v>1</v>
      </c>
      <c r="B127" s="51" t="b">
        <v>1</v>
      </c>
      <c r="C127" s="20" t="s">
        <v>117</v>
      </c>
      <c r="D127" s="21" t="s">
        <v>118</v>
      </c>
      <c r="E127" s="50" t="s">
        <v>137</v>
      </c>
      <c r="F127" s="19" t="s">
        <v>151</v>
      </c>
      <c r="G127" s="19" t="s">
        <v>138</v>
      </c>
      <c r="H127" s="31" t="s">
        <v>139</v>
      </c>
      <c r="I127" s="40"/>
      <c r="J127" s="40"/>
      <c r="K127" s="40"/>
      <c r="L127" s="40"/>
      <c r="M127" s="40"/>
      <c r="N127" s="40"/>
      <c r="O127" s="40"/>
      <c r="P127" s="40">
        <v>4</v>
      </c>
      <c r="Q127" s="39"/>
      <c r="R127" s="40"/>
      <c r="S127" s="40"/>
      <c r="T127" s="40"/>
      <c r="U127" s="40"/>
      <c r="V127" s="40"/>
      <c r="W127" s="40"/>
      <c r="X127" s="41"/>
      <c r="Y127" s="39" t="b">
        <v>1</v>
      </c>
      <c r="Z127" s="40" t="b">
        <v>1</v>
      </c>
      <c r="AA127" s="40" t="b">
        <v>1</v>
      </c>
      <c r="AB127" s="40" t="b">
        <v>1</v>
      </c>
      <c r="AC127" s="40" t="b">
        <v>1</v>
      </c>
      <c r="AD127" s="40" t="b">
        <v>1</v>
      </c>
      <c r="AE127" s="40" t="b">
        <v>1</v>
      </c>
      <c r="AF127" s="41" t="b">
        <v>0</v>
      </c>
    </row>
    <row r="128" spans="1:32" x14ac:dyDescent="0.15">
      <c r="A128" s="51" t="b">
        <v>0</v>
      </c>
      <c r="B128" s="51" t="b">
        <v>0</v>
      </c>
      <c r="C128" s="20" t="s">
        <v>119</v>
      </c>
      <c r="D128" s="21"/>
      <c r="E128" s="50" t="s">
        <v>137</v>
      </c>
      <c r="F128" s="19" t="s">
        <v>151</v>
      </c>
      <c r="G128" s="19" t="s">
        <v>138</v>
      </c>
      <c r="H128" s="31" t="s">
        <v>139</v>
      </c>
      <c r="I128" s="40"/>
      <c r="J128" s="40"/>
      <c r="K128" s="40"/>
      <c r="L128" s="40"/>
      <c r="M128" s="40"/>
      <c r="N128" s="40"/>
      <c r="O128" s="40"/>
      <c r="P128" s="40"/>
      <c r="Q128" s="39"/>
      <c r="R128" s="40"/>
      <c r="S128" s="40"/>
      <c r="T128" s="40"/>
      <c r="U128" s="40"/>
      <c r="V128" s="40"/>
      <c r="W128" s="40"/>
      <c r="X128" s="41"/>
      <c r="Y128" s="39" t="b">
        <v>1</v>
      </c>
      <c r="Z128" s="40" t="b">
        <v>1</v>
      </c>
      <c r="AA128" s="40" t="b">
        <v>1</v>
      </c>
      <c r="AB128" s="40" t="b">
        <v>1</v>
      </c>
      <c r="AC128" s="40" t="b">
        <v>1</v>
      </c>
      <c r="AD128" s="40" t="b">
        <v>1</v>
      </c>
      <c r="AE128" s="40" t="b">
        <v>1</v>
      </c>
      <c r="AF128" s="41" t="b">
        <v>1</v>
      </c>
    </row>
    <row r="129" spans="1:32" x14ac:dyDescent="0.15">
      <c r="A129" s="51" t="b">
        <v>0</v>
      </c>
      <c r="B129" s="51" t="b">
        <v>0</v>
      </c>
      <c r="C129" s="20" t="s">
        <v>120</v>
      </c>
      <c r="D129" s="21"/>
      <c r="E129" s="50" t="s">
        <v>137</v>
      </c>
      <c r="F129" s="19" t="s">
        <v>151</v>
      </c>
      <c r="G129" s="19" t="s">
        <v>138</v>
      </c>
      <c r="H129" s="31" t="s">
        <v>139</v>
      </c>
      <c r="I129" s="40"/>
      <c r="J129" s="40"/>
      <c r="K129" s="40"/>
      <c r="L129" s="40"/>
      <c r="M129" s="40"/>
      <c r="N129" s="40"/>
      <c r="O129" s="40"/>
      <c r="P129" s="40"/>
      <c r="Q129" s="39"/>
      <c r="R129" s="40"/>
      <c r="S129" s="40"/>
      <c r="T129" s="40"/>
      <c r="U129" s="40"/>
      <c r="V129" s="40"/>
      <c r="W129" s="40"/>
      <c r="X129" s="41"/>
      <c r="Y129" s="39" t="b">
        <v>1</v>
      </c>
      <c r="Z129" s="40" t="b">
        <v>1</v>
      </c>
      <c r="AA129" s="40" t="b">
        <v>1</v>
      </c>
      <c r="AB129" s="40" t="b">
        <v>1</v>
      </c>
      <c r="AC129" s="40" t="b">
        <v>1</v>
      </c>
      <c r="AD129" s="40" t="b">
        <v>1</v>
      </c>
      <c r="AE129" s="40" t="b">
        <v>1</v>
      </c>
      <c r="AF129" s="41" t="b">
        <v>1</v>
      </c>
    </row>
    <row r="130" spans="1:32" x14ac:dyDescent="0.15">
      <c r="A130" s="51" t="b">
        <v>0</v>
      </c>
      <c r="B130" s="51" t="b">
        <v>0</v>
      </c>
      <c r="C130" s="20" t="s">
        <v>121</v>
      </c>
      <c r="D130" s="21"/>
      <c r="E130" s="50" t="s">
        <v>137</v>
      </c>
      <c r="F130" s="19" t="s">
        <v>151</v>
      </c>
      <c r="G130" s="19" t="s">
        <v>138</v>
      </c>
      <c r="H130" s="31" t="s">
        <v>139</v>
      </c>
      <c r="I130" s="40"/>
      <c r="J130" s="40"/>
      <c r="K130" s="40"/>
      <c r="L130" s="40"/>
      <c r="M130" s="40"/>
      <c r="N130" s="40"/>
      <c r="O130" s="40"/>
      <c r="P130" s="40"/>
      <c r="Q130" s="39"/>
      <c r="R130" s="40"/>
      <c r="S130" s="40"/>
      <c r="T130" s="40"/>
      <c r="U130" s="40"/>
      <c r="V130" s="40"/>
      <c r="W130" s="40"/>
      <c r="X130" s="41"/>
      <c r="Y130" s="39" t="b">
        <v>1</v>
      </c>
      <c r="Z130" s="40" t="b">
        <v>1</v>
      </c>
      <c r="AA130" s="40" t="b">
        <v>1</v>
      </c>
      <c r="AB130" s="40" t="b">
        <v>1</v>
      </c>
      <c r="AC130" s="40" t="b">
        <v>1</v>
      </c>
      <c r="AD130" s="40" t="b">
        <v>1</v>
      </c>
      <c r="AE130" s="40" t="b">
        <v>1</v>
      </c>
      <c r="AF130" s="41" t="b">
        <v>1</v>
      </c>
    </row>
    <row r="131" spans="1:32" x14ac:dyDescent="0.15">
      <c r="A131" s="51" t="b">
        <v>0</v>
      </c>
      <c r="B131" s="51" t="b">
        <v>0</v>
      </c>
      <c r="C131" s="20" t="s">
        <v>122</v>
      </c>
      <c r="D131" s="21"/>
      <c r="E131" s="50" t="s">
        <v>137</v>
      </c>
      <c r="F131" s="19" t="s">
        <v>151</v>
      </c>
      <c r="G131" s="19" t="s">
        <v>138</v>
      </c>
      <c r="H131" s="31" t="s">
        <v>139</v>
      </c>
      <c r="I131" s="40"/>
      <c r="J131" s="40"/>
      <c r="K131" s="40"/>
      <c r="L131" s="40"/>
      <c r="M131" s="40"/>
      <c r="N131" s="40"/>
      <c r="O131" s="40"/>
      <c r="P131" s="40"/>
      <c r="Q131" s="39"/>
      <c r="R131" s="40"/>
      <c r="S131" s="40"/>
      <c r="T131" s="40"/>
      <c r="U131" s="40"/>
      <c r="V131" s="40"/>
      <c r="W131" s="40"/>
      <c r="X131" s="41"/>
      <c r="Y131" s="39" t="b">
        <v>1</v>
      </c>
      <c r="Z131" s="40" t="b">
        <v>1</v>
      </c>
      <c r="AA131" s="40" t="b">
        <v>1</v>
      </c>
      <c r="AB131" s="40" t="b">
        <v>1</v>
      </c>
      <c r="AC131" s="40" t="b">
        <v>1</v>
      </c>
      <c r="AD131" s="40" t="b">
        <v>1</v>
      </c>
      <c r="AE131" s="40" t="b">
        <v>1</v>
      </c>
      <c r="AF131" s="41" t="b">
        <v>1</v>
      </c>
    </row>
    <row r="132" spans="1:32" x14ac:dyDescent="0.15">
      <c r="A132" s="51" t="b">
        <v>0</v>
      </c>
      <c r="B132" s="51" t="b">
        <v>0</v>
      </c>
      <c r="C132" s="20" t="s">
        <v>193</v>
      </c>
      <c r="E132" s="50" t="s">
        <v>137</v>
      </c>
      <c r="F132" s="19" t="s">
        <v>151</v>
      </c>
      <c r="G132" s="19" t="s">
        <v>138</v>
      </c>
      <c r="H132" s="31" t="s">
        <v>139</v>
      </c>
      <c r="I132" s="40"/>
      <c r="J132" s="40"/>
      <c r="K132" s="40"/>
      <c r="L132" s="40"/>
      <c r="M132" s="40"/>
      <c r="N132" s="40"/>
      <c r="O132" s="40"/>
      <c r="P132" s="40"/>
      <c r="Q132" s="39"/>
      <c r="R132" s="40"/>
      <c r="S132" s="40"/>
      <c r="T132" s="40"/>
      <c r="U132" s="40"/>
      <c r="V132" s="40"/>
      <c r="W132" s="40"/>
      <c r="X132" s="41"/>
      <c r="Y132" s="39" t="b">
        <v>1</v>
      </c>
      <c r="Z132" s="40" t="b">
        <v>1</v>
      </c>
      <c r="AA132" s="40" t="b">
        <v>1</v>
      </c>
      <c r="AB132" s="40" t="b">
        <v>1</v>
      </c>
      <c r="AC132" s="40" t="b">
        <v>1</v>
      </c>
      <c r="AD132" s="40" t="b">
        <v>1</v>
      </c>
      <c r="AE132" s="40" t="b">
        <v>1</v>
      </c>
      <c r="AF132" s="41" t="b">
        <v>1</v>
      </c>
    </row>
    <row r="133" spans="1:32" x14ac:dyDescent="0.15">
      <c r="A133" s="51" t="b">
        <v>0</v>
      </c>
      <c r="B133" s="51" t="b">
        <v>0</v>
      </c>
      <c r="C133" s="20" t="s">
        <v>194</v>
      </c>
      <c r="E133" s="50" t="s">
        <v>137</v>
      </c>
      <c r="F133" s="19" t="s">
        <v>151</v>
      </c>
      <c r="G133" s="19" t="s">
        <v>138</v>
      </c>
      <c r="H133" s="31" t="s">
        <v>139</v>
      </c>
      <c r="I133" s="40"/>
      <c r="J133" s="40"/>
      <c r="K133" s="40"/>
      <c r="L133" s="40"/>
      <c r="M133" s="40"/>
      <c r="N133" s="40"/>
      <c r="O133" s="40"/>
      <c r="P133" s="40"/>
      <c r="Q133" s="39"/>
      <c r="R133" s="40"/>
      <c r="S133" s="40"/>
      <c r="T133" s="40"/>
      <c r="U133" s="40"/>
      <c r="V133" s="40"/>
      <c r="W133" s="40"/>
      <c r="X133" s="41"/>
      <c r="Y133" s="39" t="b">
        <v>1</v>
      </c>
      <c r="Z133" s="40" t="b">
        <v>1</v>
      </c>
      <c r="AA133" s="40" t="b">
        <v>1</v>
      </c>
      <c r="AB133" s="40" t="b">
        <v>1</v>
      </c>
      <c r="AC133" s="40" t="b">
        <v>1</v>
      </c>
      <c r="AD133" s="40" t="b">
        <v>1</v>
      </c>
      <c r="AE133" s="40" t="b">
        <v>1</v>
      </c>
      <c r="AF133" s="41" t="b">
        <v>1</v>
      </c>
    </row>
    <row r="134" spans="1:32" x14ac:dyDescent="0.15">
      <c r="A134" s="51" t="b">
        <v>0</v>
      </c>
      <c r="B134" s="51" t="b">
        <v>0</v>
      </c>
      <c r="C134" s="20" t="s">
        <v>195</v>
      </c>
      <c r="E134" s="50" t="s">
        <v>137</v>
      </c>
      <c r="F134" s="19" t="s">
        <v>151</v>
      </c>
      <c r="G134" s="19" t="s">
        <v>138</v>
      </c>
      <c r="H134" s="31" t="s">
        <v>139</v>
      </c>
      <c r="I134" s="40"/>
      <c r="J134" s="40"/>
      <c r="K134" s="40"/>
      <c r="L134" s="40"/>
      <c r="M134" s="40"/>
      <c r="N134" s="40"/>
      <c r="O134" s="40"/>
      <c r="P134" s="40"/>
      <c r="Q134" s="39"/>
      <c r="R134" s="40"/>
      <c r="S134" s="40"/>
      <c r="T134" s="40"/>
      <c r="U134" s="40"/>
      <c r="V134" s="40"/>
      <c r="W134" s="40"/>
      <c r="X134" s="41"/>
      <c r="Y134" s="39" t="b">
        <v>1</v>
      </c>
      <c r="Z134" s="40" t="b">
        <v>1</v>
      </c>
      <c r="AA134" s="40" t="b">
        <v>1</v>
      </c>
      <c r="AB134" s="40" t="b">
        <v>1</v>
      </c>
      <c r="AC134" s="40" t="b">
        <v>1</v>
      </c>
      <c r="AD134" s="40" t="b">
        <v>1</v>
      </c>
      <c r="AE134" s="40" t="b">
        <v>1</v>
      </c>
      <c r="AF134" s="41" t="b">
        <v>1</v>
      </c>
    </row>
    <row r="135" spans="1:32" x14ac:dyDescent="0.15">
      <c r="A135" s="51" t="b">
        <v>0</v>
      </c>
      <c r="B135" s="51" t="b">
        <v>0</v>
      </c>
      <c r="C135" s="20" t="s">
        <v>196</v>
      </c>
      <c r="E135" s="50" t="s">
        <v>137</v>
      </c>
      <c r="F135" s="19" t="s">
        <v>151</v>
      </c>
      <c r="G135" s="19" t="s">
        <v>138</v>
      </c>
      <c r="H135" s="31" t="s">
        <v>139</v>
      </c>
      <c r="I135" s="40"/>
      <c r="J135" s="40"/>
      <c r="K135" s="40"/>
      <c r="L135" s="40"/>
      <c r="M135" s="40"/>
      <c r="N135" s="40"/>
      <c r="O135" s="40"/>
      <c r="P135" s="40"/>
      <c r="Q135" s="39"/>
      <c r="R135" s="40"/>
      <c r="S135" s="40"/>
      <c r="T135" s="40"/>
      <c r="U135" s="40"/>
      <c r="V135" s="40"/>
      <c r="W135" s="40"/>
      <c r="X135" s="41"/>
      <c r="Y135" s="39" t="b">
        <v>1</v>
      </c>
      <c r="Z135" s="40" t="b">
        <v>1</v>
      </c>
      <c r="AA135" s="40" t="b">
        <v>1</v>
      </c>
      <c r="AB135" s="40" t="b">
        <v>1</v>
      </c>
      <c r="AC135" s="40" t="b">
        <v>1</v>
      </c>
      <c r="AD135" s="40" t="b">
        <v>1</v>
      </c>
      <c r="AE135" s="40" t="b">
        <v>1</v>
      </c>
      <c r="AF135" s="41" t="b">
        <v>1</v>
      </c>
    </row>
    <row r="136" spans="1:32" x14ac:dyDescent="0.15">
      <c r="A136" s="51" t="b">
        <v>0</v>
      </c>
      <c r="B136" s="51" t="b">
        <v>0</v>
      </c>
      <c r="C136" s="20" t="s">
        <v>197</v>
      </c>
      <c r="E136" s="50" t="s">
        <v>137</v>
      </c>
      <c r="F136" s="19" t="s">
        <v>151</v>
      </c>
      <c r="G136" s="19" t="s">
        <v>138</v>
      </c>
      <c r="H136" s="31" t="s">
        <v>139</v>
      </c>
      <c r="I136" s="40"/>
      <c r="J136" s="40"/>
      <c r="K136" s="40"/>
      <c r="L136" s="40"/>
      <c r="M136" s="40"/>
      <c r="N136" s="40"/>
      <c r="O136" s="40"/>
      <c r="P136" s="40"/>
      <c r="Q136" s="39"/>
      <c r="R136" s="40"/>
      <c r="S136" s="40"/>
      <c r="T136" s="40"/>
      <c r="U136" s="40"/>
      <c r="V136" s="40"/>
      <c r="W136" s="40"/>
      <c r="X136" s="41"/>
      <c r="Y136" s="39" t="b">
        <v>1</v>
      </c>
      <c r="Z136" s="40" t="b">
        <v>1</v>
      </c>
      <c r="AA136" s="40" t="b">
        <v>1</v>
      </c>
      <c r="AB136" s="40" t="b">
        <v>1</v>
      </c>
      <c r="AC136" s="40" t="b">
        <v>1</v>
      </c>
      <c r="AD136" s="40" t="b">
        <v>1</v>
      </c>
      <c r="AE136" s="40" t="b">
        <v>1</v>
      </c>
      <c r="AF136" s="41" t="b">
        <v>1</v>
      </c>
    </row>
    <row r="137" spans="1:32" x14ac:dyDescent="0.15">
      <c r="A137" s="51" t="b">
        <v>0</v>
      </c>
      <c r="B137" s="51" t="b">
        <v>0</v>
      </c>
      <c r="C137" s="20" t="s">
        <v>198</v>
      </c>
      <c r="E137" s="50" t="s">
        <v>137</v>
      </c>
      <c r="F137" s="19" t="s">
        <v>151</v>
      </c>
      <c r="G137" s="19" t="s">
        <v>138</v>
      </c>
      <c r="H137" s="31" t="s">
        <v>139</v>
      </c>
      <c r="I137" s="40"/>
      <c r="J137" s="40"/>
      <c r="K137" s="40"/>
      <c r="L137" s="40"/>
      <c r="M137" s="40"/>
      <c r="N137" s="40"/>
      <c r="O137" s="40"/>
      <c r="P137" s="40"/>
      <c r="Q137" s="39"/>
      <c r="R137" s="40"/>
      <c r="S137" s="40"/>
      <c r="T137" s="40"/>
      <c r="U137" s="40"/>
      <c r="V137" s="40"/>
      <c r="W137" s="40"/>
      <c r="X137" s="41"/>
      <c r="Y137" s="39" t="b">
        <v>1</v>
      </c>
      <c r="Z137" s="40" t="b">
        <v>1</v>
      </c>
      <c r="AA137" s="40" t="b">
        <v>1</v>
      </c>
      <c r="AB137" s="40" t="b">
        <v>1</v>
      </c>
      <c r="AC137" s="40" t="b">
        <v>1</v>
      </c>
      <c r="AD137" s="40" t="b">
        <v>1</v>
      </c>
      <c r="AE137" s="40" t="b">
        <v>1</v>
      </c>
      <c r="AF137" s="41" t="b">
        <v>1</v>
      </c>
    </row>
    <row r="138" spans="1:32" x14ac:dyDescent="0.15">
      <c r="A138" s="51" t="b">
        <v>0</v>
      </c>
      <c r="B138" s="51" t="b">
        <v>0</v>
      </c>
      <c r="C138" s="20" t="s">
        <v>199</v>
      </c>
      <c r="E138" s="50" t="s">
        <v>137</v>
      </c>
      <c r="F138" s="19" t="s">
        <v>151</v>
      </c>
      <c r="G138" s="19" t="s">
        <v>138</v>
      </c>
      <c r="H138" s="31" t="s">
        <v>139</v>
      </c>
      <c r="I138" s="40"/>
      <c r="J138" s="40"/>
      <c r="K138" s="40"/>
      <c r="L138" s="40"/>
      <c r="M138" s="40"/>
      <c r="N138" s="40"/>
      <c r="O138" s="40"/>
      <c r="P138" s="40"/>
      <c r="Q138" s="39"/>
      <c r="R138" s="40"/>
      <c r="S138" s="40"/>
      <c r="T138" s="40"/>
      <c r="U138" s="40"/>
      <c r="V138" s="40"/>
      <c r="W138" s="40"/>
      <c r="X138" s="41"/>
      <c r="Y138" s="39" t="b">
        <v>1</v>
      </c>
      <c r="Z138" s="40" t="b">
        <v>1</v>
      </c>
      <c r="AA138" s="40" t="b">
        <v>1</v>
      </c>
      <c r="AB138" s="40" t="b">
        <v>1</v>
      </c>
      <c r="AC138" s="40" t="b">
        <v>1</v>
      </c>
      <c r="AD138" s="40" t="b">
        <v>1</v>
      </c>
      <c r="AE138" s="40" t="b">
        <v>1</v>
      </c>
      <c r="AF138" s="41" t="b">
        <v>1</v>
      </c>
    </row>
    <row r="139" spans="1:32" x14ac:dyDescent="0.15">
      <c r="A139" s="51" t="b">
        <v>0</v>
      </c>
      <c r="B139" s="51" t="b">
        <v>0</v>
      </c>
      <c r="C139" s="20" t="s">
        <v>200</v>
      </c>
      <c r="E139" s="50" t="s">
        <v>137</v>
      </c>
      <c r="F139" s="19" t="s">
        <v>151</v>
      </c>
      <c r="G139" s="19" t="s">
        <v>138</v>
      </c>
      <c r="H139" s="31" t="s">
        <v>139</v>
      </c>
      <c r="I139" s="40"/>
      <c r="J139" s="40"/>
      <c r="K139" s="40"/>
      <c r="L139" s="40"/>
      <c r="M139" s="40"/>
      <c r="N139" s="40"/>
      <c r="O139" s="40"/>
      <c r="P139" s="40"/>
      <c r="Q139" s="39"/>
      <c r="R139" s="40"/>
      <c r="S139" s="40"/>
      <c r="T139" s="40"/>
      <c r="U139" s="40"/>
      <c r="V139" s="40"/>
      <c r="W139" s="40"/>
      <c r="X139" s="41"/>
      <c r="Y139" s="39" t="b">
        <v>1</v>
      </c>
      <c r="Z139" s="40" t="b">
        <v>1</v>
      </c>
      <c r="AA139" s="40" t="b">
        <v>1</v>
      </c>
      <c r="AB139" s="40" t="b">
        <v>1</v>
      </c>
      <c r="AC139" s="40" t="b">
        <v>1</v>
      </c>
      <c r="AD139" s="40" t="b">
        <v>1</v>
      </c>
      <c r="AE139" s="40" t="b">
        <v>1</v>
      </c>
      <c r="AF139" s="41" t="b">
        <v>1</v>
      </c>
    </row>
    <row r="140" spans="1:32" s="299" customFormat="1" x14ac:dyDescent="0.15">
      <c r="A140" s="303" t="b">
        <f>IF(COUNTIFS(A120:A139,FALSE)=0,FALSE,TRUE)</f>
        <v>1</v>
      </c>
      <c r="B140" s="303" t="b">
        <f>IF(COUNTIFS(B120:B139,FALSE)=0,FALSE,TRUE)</f>
        <v>1</v>
      </c>
      <c r="C140" s="304"/>
      <c r="D140" s="305" t="s">
        <v>153</v>
      </c>
      <c r="E140" s="306"/>
      <c r="F140" s="307"/>
      <c r="G140" s="307"/>
      <c r="H140" s="308"/>
      <c r="I140" s="307"/>
      <c r="J140" s="307"/>
      <c r="K140" s="307"/>
      <c r="L140" s="307"/>
      <c r="M140" s="307"/>
      <c r="N140" s="307"/>
      <c r="O140" s="307"/>
      <c r="P140" s="307"/>
      <c r="Q140" s="306"/>
      <c r="R140" s="307"/>
      <c r="S140" s="307"/>
      <c r="T140" s="307"/>
      <c r="U140" s="307"/>
      <c r="V140" s="307"/>
      <c r="W140" s="307"/>
      <c r="X140" s="308"/>
      <c r="Y140" s="306" t="b">
        <v>1</v>
      </c>
      <c r="Z140" s="307" t="b">
        <v>1</v>
      </c>
      <c r="AA140" s="307" t="b">
        <v>1</v>
      </c>
      <c r="AB140" s="307" t="b">
        <v>1</v>
      </c>
      <c r="AC140" s="307" t="b">
        <v>1</v>
      </c>
      <c r="AD140" s="307" t="b">
        <v>1</v>
      </c>
      <c r="AE140" s="307" t="b">
        <v>1</v>
      </c>
      <c r="AF140" s="308" t="b">
        <v>1</v>
      </c>
    </row>
  </sheetData>
  <mergeCells count="4">
    <mergeCell ref="Q9:X9"/>
    <mergeCell ref="I2:P2"/>
    <mergeCell ref="Q2:X2"/>
    <mergeCell ref="Y9:AF9"/>
  </mergeCells>
  <conditionalFormatting sqref="H13">
    <cfRule type="expression" dxfId="0" priority="1">
      <formula>$I$10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Summary</vt:lpstr>
      <vt:lpstr>Glossary</vt:lpstr>
      <vt:lpstr>data</vt:lpstr>
      <vt:lpstr>ActiveStage</vt:lpstr>
      <vt:lpstr>AddCol</vt:lpstr>
      <vt:lpstr>Anchor</vt:lpstr>
      <vt:lpstr>AnswerAnchor</vt:lpstr>
      <vt:lpstr>AnswerCompletion</vt:lpstr>
      <vt:lpstr>Answers</vt:lpstr>
      <vt:lpstr>applies</vt:lpstr>
      <vt:lpstr>comments</vt:lpstr>
      <vt:lpstr>copyAnchor</vt:lpstr>
      <vt:lpstr>custom_answers</vt:lpstr>
      <vt:lpstr>custom_indicators</vt:lpstr>
      <vt:lpstr>defaultAnswers</vt:lpstr>
      <vt:lpstr>detail</vt:lpstr>
      <vt:lpstr>detail2</vt:lpstr>
      <vt:lpstr>editCol</vt:lpstr>
      <vt:lpstr>editmode</vt:lpstr>
      <vt:lpstr>indicatorCodes</vt:lpstr>
      <vt:lpstr>indicators</vt:lpstr>
      <vt:lpstr>initialShow</vt:lpstr>
      <vt:lpstr>overall_quality_statement</vt:lpstr>
      <vt:lpstr>Stage!Print_Area</vt:lpstr>
      <vt:lpstr>Summary!Print_Area</vt:lpstr>
      <vt:lpstr>ProjectName</vt:lpstr>
      <vt:lpstr>show</vt:lpstr>
      <vt:lpstr>SiteAddress</vt:lpstr>
      <vt:lpstr>StageComments</vt:lpstr>
      <vt:lpstr>StageCommentsMerged</vt:lpstr>
      <vt:lpstr>StageDetail</vt:lpstr>
      <vt:lpstr>StageDetail2</vt:lpstr>
      <vt:lpstr>stageNames</vt:lpstr>
      <vt:lpstr>StageProjectName</vt:lpstr>
      <vt:lpstr>StageRoles</vt:lpstr>
      <vt:lpstr>StageSiteAddress</vt:lpstr>
      <vt:lpstr>summaryAnchor</vt:lpstr>
      <vt:lpstr>ViewStage</vt:lpstr>
      <vt:lpstr>VisibleIndicatorCount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Berry</dc:creator>
  <cp:lastModifiedBy>Simon Berry</cp:lastModifiedBy>
  <cp:lastPrinted>2018-09-16T08:56:32Z</cp:lastPrinted>
  <dcterms:created xsi:type="dcterms:W3CDTF">2018-09-11T16:25:00Z</dcterms:created>
  <dcterms:modified xsi:type="dcterms:W3CDTF">2018-10-05T14:05:14Z</dcterms:modified>
</cp:coreProperties>
</file>